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drawings/drawing5.xml" ContentType="application/vnd.openxmlformats-officedocument.drawing+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проектирование_новое_направление\МУФЛОН\Паспорт-інструкція\"/>
    </mc:Choice>
  </mc:AlternateContent>
  <workbookProtection workbookPassword="EBB1" lockStructure="1"/>
  <bookViews>
    <workbookView xWindow="0" yWindow="0" windowWidth="16380" windowHeight="8190" tabRatio="500" activeTab="26"/>
  </bookViews>
  <sheets>
    <sheet name="0_Навігація" sheetId="1" r:id="rId1"/>
    <sheet name="Інструкція_протокол" sheetId="2" r:id="rId2"/>
    <sheet name="1_Input_5_обстежень_" sheetId="3" r:id="rId3"/>
    <sheet name="2_Parameter_Scores" sheetId="4" r:id="rId4"/>
    <sheet name="3_коефіцієнти_розширеного_аналі" sheetId="5" r:id="rId5"/>
    <sheet name="5_Mechanistic" sheetId="6" r:id="rId6"/>
    <sheet name="6_Audit_Trail" sheetId="7" r:id="rId7"/>
    <sheet name="7_Final" sheetId="8" r:id="rId8"/>
    <sheet name="8_параметричны описи" sheetId="9" r:id="rId9"/>
    <sheet name="2024_2026" sheetId="10" r:id="rId10"/>
    <sheet name="Інструкція_кор" sheetId="11" r:id="rId11"/>
    <sheet name="Терапія_по_зонах" sheetId="12" r:id="rId12"/>
    <sheet name="6+1_зони_підсумок" sheetId="13" r:id="rId13"/>
    <sheet name="Довідник_зон_S-matrix" sheetId="14" r:id="rId14"/>
    <sheet name="J_Карта_точок" sheetId="15" r:id="rId15"/>
    <sheet name="A_Картка_пацієнта" sheetId="16" r:id="rId16"/>
    <sheet name="B_Дозиметрія_сеансів" sheetId="17" r:id="rId17"/>
    <sheet name="C_Чек-лист_безпеки" sheetId="18" r:id="rId18"/>
    <sheet name="D_Небажані_явища" sheetId="19" r:id="rId19"/>
    <sheet name="E_Метрологія_обладнання" sheetId="20" r:id="rId20"/>
    <sheet name="F_Статистика_когорти" sheetId="21" r:id="rId21"/>
    <sheet name="G1_Динаміка_індексів" sheetId="22" r:id="rId22"/>
    <sheet name="F1_Когортні_індекси" sheetId="23" r:id="rId23"/>
    <sheet name="K_Статистика_порівняння" sheetId="24" r:id="rId24"/>
    <sheet name="L_Змішана_модель" sheetId="25" r:id="rId25"/>
    <sheet name="G_Тренди" sheetId="26" r:id="rId26"/>
    <sheet name="H_Валідація_моделі" sheetId="27" r:id="rId27"/>
    <sheet name="I_Журнал_версій" sheetId="28" r:id="rId28"/>
  </sheets>
  <calcPr calcId="152511"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D14" i="27" l="1"/>
  <c r="E14" i="27" s="1"/>
  <c r="E13" i="27"/>
  <c r="D13" i="27"/>
  <c r="D12" i="27"/>
  <c r="E12" i="27" s="1"/>
  <c r="E11" i="27"/>
  <c r="D11" i="27"/>
  <c r="D10" i="27"/>
  <c r="E10" i="27" s="1"/>
  <c r="E9" i="27"/>
  <c r="D9" i="27"/>
  <c r="D44" i="25"/>
  <c r="C44" i="25"/>
  <c r="G44" i="25" s="1"/>
  <c r="B44" i="25"/>
  <c r="E44" i="25" s="1"/>
  <c r="D43" i="25"/>
  <c r="C43" i="25"/>
  <c r="G43" i="25" s="1"/>
  <c r="B43" i="25"/>
  <c r="E43" i="25" s="1"/>
  <c r="F43" i="25" s="1"/>
  <c r="H43" i="25" s="1"/>
  <c r="D42" i="25"/>
  <c r="C42" i="25"/>
  <c r="G42" i="25" s="1"/>
  <c r="B42" i="25"/>
  <c r="E42" i="25" s="1"/>
  <c r="F42" i="25" s="1"/>
  <c r="H42" i="25" s="1"/>
  <c r="R200" i="24"/>
  <c r="Q200" i="24"/>
  <c r="T200" i="24" s="1"/>
  <c r="P200" i="24"/>
  <c r="S199" i="24"/>
  <c r="R199" i="24"/>
  <c r="T199" i="24" s="1"/>
  <c r="Q199" i="24"/>
  <c r="P199" i="24"/>
  <c r="T198" i="24"/>
  <c r="S198" i="24"/>
  <c r="R198" i="24"/>
  <c r="Q198" i="24"/>
  <c r="P198" i="24"/>
  <c r="R197" i="24"/>
  <c r="Q197" i="24"/>
  <c r="T197" i="24" s="1"/>
  <c r="P197" i="24"/>
  <c r="R196" i="24"/>
  <c r="Q196" i="24"/>
  <c r="T196" i="24" s="1"/>
  <c r="P196" i="24"/>
  <c r="S195" i="24"/>
  <c r="R195" i="24"/>
  <c r="T195" i="24" s="1"/>
  <c r="Q195" i="24"/>
  <c r="P195" i="24"/>
  <c r="T194" i="24"/>
  <c r="S194" i="24"/>
  <c r="R194" i="24"/>
  <c r="Q194" i="24"/>
  <c r="P194" i="24"/>
  <c r="R193" i="24"/>
  <c r="Q193" i="24"/>
  <c r="T193" i="24" s="1"/>
  <c r="P193" i="24"/>
  <c r="R192" i="24"/>
  <c r="Q192" i="24"/>
  <c r="T192" i="24" s="1"/>
  <c r="P192" i="24"/>
  <c r="S191" i="24"/>
  <c r="R191" i="24"/>
  <c r="T191" i="24" s="1"/>
  <c r="Q191" i="24"/>
  <c r="P191" i="24"/>
  <c r="T190" i="24"/>
  <c r="S190" i="24"/>
  <c r="R190" i="24"/>
  <c r="Q190" i="24"/>
  <c r="P190" i="24"/>
  <c r="R189" i="24"/>
  <c r="Q189" i="24"/>
  <c r="T189" i="24" s="1"/>
  <c r="P189" i="24"/>
  <c r="R188" i="24"/>
  <c r="Q188" i="24"/>
  <c r="T188" i="24" s="1"/>
  <c r="P188" i="24"/>
  <c r="S187" i="24"/>
  <c r="R187" i="24"/>
  <c r="T187" i="24" s="1"/>
  <c r="Q187" i="24"/>
  <c r="P187" i="24"/>
  <c r="T186" i="24"/>
  <c r="S186" i="24"/>
  <c r="R186" i="24"/>
  <c r="Q186" i="24"/>
  <c r="P186" i="24"/>
  <c r="R185" i="24"/>
  <c r="Q185" i="24"/>
  <c r="T185" i="24" s="1"/>
  <c r="P185" i="24"/>
  <c r="R184" i="24"/>
  <c r="Q184" i="24"/>
  <c r="T184" i="24" s="1"/>
  <c r="P184" i="24"/>
  <c r="S183" i="24"/>
  <c r="R183" i="24"/>
  <c r="T183" i="24" s="1"/>
  <c r="Q183" i="24"/>
  <c r="P183" i="24"/>
  <c r="T182" i="24"/>
  <c r="S182" i="24"/>
  <c r="R182" i="24"/>
  <c r="Q182" i="24"/>
  <c r="P182" i="24"/>
  <c r="R181" i="24"/>
  <c r="Q181" i="24"/>
  <c r="T181" i="24" s="1"/>
  <c r="P181" i="24"/>
  <c r="R180" i="24"/>
  <c r="Q180" i="24"/>
  <c r="T180" i="24" s="1"/>
  <c r="P180" i="24"/>
  <c r="S179" i="24"/>
  <c r="R179" i="24"/>
  <c r="T179" i="24" s="1"/>
  <c r="Q179" i="24"/>
  <c r="P179" i="24"/>
  <c r="T178" i="24"/>
  <c r="S178" i="24"/>
  <c r="R178" i="24"/>
  <c r="Q178" i="24"/>
  <c r="P178" i="24"/>
  <c r="R177" i="24"/>
  <c r="Q177" i="24"/>
  <c r="T177" i="24" s="1"/>
  <c r="P177" i="24"/>
  <c r="R176" i="24"/>
  <c r="Q176" i="24"/>
  <c r="T176" i="24" s="1"/>
  <c r="P176" i="24"/>
  <c r="S175" i="24"/>
  <c r="R175" i="24"/>
  <c r="T175" i="24" s="1"/>
  <c r="Q175" i="24"/>
  <c r="P175" i="24"/>
  <c r="T174" i="24"/>
  <c r="S174" i="24"/>
  <c r="R174" i="24"/>
  <c r="Q174" i="24"/>
  <c r="P174" i="24"/>
  <c r="R173" i="24"/>
  <c r="Q173" i="24"/>
  <c r="T173" i="24" s="1"/>
  <c r="P173" i="24"/>
  <c r="R172" i="24"/>
  <c r="Q172" i="24"/>
  <c r="T172" i="24" s="1"/>
  <c r="P172" i="24"/>
  <c r="S171" i="24"/>
  <c r="R171" i="24"/>
  <c r="T171" i="24" s="1"/>
  <c r="Q171" i="24"/>
  <c r="P171" i="24"/>
  <c r="T170" i="24"/>
  <c r="S170" i="24"/>
  <c r="R170" i="24"/>
  <c r="Q170" i="24"/>
  <c r="P170" i="24"/>
  <c r="R169" i="24"/>
  <c r="Q169" i="24"/>
  <c r="T169" i="24" s="1"/>
  <c r="P169" i="24"/>
  <c r="R168" i="24"/>
  <c r="Q168" i="24"/>
  <c r="T168" i="24" s="1"/>
  <c r="P168" i="24"/>
  <c r="S167" i="24"/>
  <c r="R167" i="24"/>
  <c r="T167" i="24" s="1"/>
  <c r="Q167" i="24"/>
  <c r="P167" i="24"/>
  <c r="T166" i="24"/>
  <c r="S166" i="24"/>
  <c r="R166" i="24"/>
  <c r="Q166" i="24"/>
  <c r="P166" i="24"/>
  <c r="R165" i="24"/>
  <c r="Q165" i="24"/>
  <c r="T165" i="24" s="1"/>
  <c r="P165" i="24"/>
  <c r="R164" i="24"/>
  <c r="Q164" i="24"/>
  <c r="T164" i="24" s="1"/>
  <c r="P164" i="24"/>
  <c r="S163" i="24"/>
  <c r="R163" i="24"/>
  <c r="T163" i="24" s="1"/>
  <c r="Q163" i="24"/>
  <c r="P163" i="24"/>
  <c r="T162" i="24"/>
  <c r="S162" i="24"/>
  <c r="R162" i="24"/>
  <c r="Q162" i="24"/>
  <c r="P162" i="24"/>
  <c r="R161" i="24"/>
  <c r="Q161" i="24"/>
  <c r="T161" i="24" s="1"/>
  <c r="P161" i="24"/>
  <c r="R160" i="24"/>
  <c r="Q160" i="24"/>
  <c r="T160" i="24" s="1"/>
  <c r="P160" i="24"/>
  <c r="S159" i="24"/>
  <c r="R159" i="24"/>
  <c r="T159" i="24" s="1"/>
  <c r="Q159" i="24"/>
  <c r="P159" i="24"/>
  <c r="T158" i="24"/>
  <c r="S158" i="24"/>
  <c r="R158" i="24"/>
  <c r="Q158" i="24"/>
  <c r="P158" i="24"/>
  <c r="R157" i="24"/>
  <c r="Q157" i="24"/>
  <c r="T157" i="24" s="1"/>
  <c r="P157" i="24"/>
  <c r="R156" i="24"/>
  <c r="Q156" i="24"/>
  <c r="T156" i="24" s="1"/>
  <c r="P156" i="24"/>
  <c r="S155" i="24"/>
  <c r="R155" i="24"/>
  <c r="T155" i="24" s="1"/>
  <c r="Q155" i="24"/>
  <c r="P155" i="24"/>
  <c r="T154" i="24"/>
  <c r="S154" i="24"/>
  <c r="R154" i="24"/>
  <c r="Q154" i="24"/>
  <c r="P154" i="24"/>
  <c r="R153" i="24"/>
  <c r="Q153" i="24"/>
  <c r="T153" i="24" s="1"/>
  <c r="P153" i="24"/>
  <c r="R152" i="24"/>
  <c r="Q152" i="24"/>
  <c r="T152" i="24" s="1"/>
  <c r="P152" i="24"/>
  <c r="S151" i="24"/>
  <c r="R151" i="24"/>
  <c r="T151" i="24" s="1"/>
  <c r="Q151" i="24"/>
  <c r="P151" i="24"/>
  <c r="T150" i="24"/>
  <c r="S150" i="24"/>
  <c r="R150" i="24"/>
  <c r="Q150" i="24"/>
  <c r="P150" i="24"/>
  <c r="R149" i="24"/>
  <c r="Q149" i="24"/>
  <c r="T149" i="24" s="1"/>
  <c r="P149" i="24"/>
  <c r="R148" i="24"/>
  <c r="Q148" i="24"/>
  <c r="T148" i="24" s="1"/>
  <c r="P148" i="24"/>
  <c r="S147" i="24"/>
  <c r="R147" i="24"/>
  <c r="T147" i="24" s="1"/>
  <c r="Q147" i="24"/>
  <c r="P147" i="24"/>
  <c r="T146" i="24"/>
  <c r="S146" i="24"/>
  <c r="R146" i="24"/>
  <c r="Q146" i="24"/>
  <c r="P146" i="24"/>
  <c r="R145" i="24"/>
  <c r="Q145" i="24"/>
  <c r="T145" i="24" s="1"/>
  <c r="P145" i="24"/>
  <c r="R144" i="24"/>
  <c r="Q144" i="24"/>
  <c r="T144" i="24" s="1"/>
  <c r="P144" i="24"/>
  <c r="S143" i="24"/>
  <c r="R143" i="24"/>
  <c r="T143" i="24" s="1"/>
  <c r="Q143" i="24"/>
  <c r="P143" i="24"/>
  <c r="T142" i="24"/>
  <c r="S142" i="24"/>
  <c r="R142" i="24"/>
  <c r="Q142" i="24"/>
  <c r="P142" i="24"/>
  <c r="R141" i="24"/>
  <c r="Q141" i="24"/>
  <c r="T141" i="24" s="1"/>
  <c r="P141" i="24"/>
  <c r="R140" i="24"/>
  <c r="Q140" i="24"/>
  <c r="T140" i="24" s="1"/>
  <c r="P140" i="24"/>
  <c r="S139" i="24"/>
  <c r="R139" i="24"/>
  <c r="T139" i="24" s="1"/>
  <c r="Q139" i="24"/>
  <c r="P139" i="24"/>
  <c r="T138" i="24"/>
  <c r="S138" i="24"/>
  <c r="R138" i="24"/>
  <c r="Q138" i="24"/>
  <c r="P138" i="24"/>
  <c r="R137" i="24"/>
  <c r="Q137" i="24"/>
  <c r="T137" i="24" s="1"/>
  <c r="P137" i="24"/>
  <c r="R136" i="24"/>
  <c r="Q136" i="24"/>
  <c r="T136" i="24" s="1"/>
  <c r="P136" i="24"/>
  <c r="S135" i="24"/>
  <c r="R135" i="24"/>
  <c r="T135" i="24" s="1"/>
  <c r="Q135" i="24"/>
  <c r="P135" i="24"/>
  <c r="T134" i="24"/>
  <c r="S134" i="24"/>
  <c r="R134" i="24"/>
  <c r="Q134" i="24"/>
  <c r="P134" i="24"/>
  <c r="R133" i="24"/>
  <c r="Q133" i="24"/>
  <c r="T133" i="24" s="1"/>
  <c r="P133" i="24"/>
  <c r="R132" i="24"/>
  <c r="Q132" i="24"/>
  <c r="T132" i="24" s="1"/>
  <c r="P132" i="24"/>
  <c r="S131" i="24"/>
  <c r="R131" i="24"/>
  <c r="T131" i="24" s="1"/>
  <c r="Q131" i="24"/>
  <c r="P131" i="24"/>
  <c r="T130" i="24"/>
  <c r="S130" i="24"/>
  <c r="R130" i="24"/>
  <c r="Q130" i="24"/>
  <c r="P130" i="24"/>
  <c r="R129" i="24"/>
  <c r="Q129" i="24"/>
  <c r="T129" i="24" s="1"/>
  <c r="P129" i="24"/>
  <c r="R128" i="24"/>
  <c r="Q128" i="24"/>
  <c r="T128" i="24" s="1"/>
  <c r="P128" i="24"/>
  <c r="S127" i="24"/>
  <c r="R127" i="24"/>
  <c r="T127" i="24" s="1"/>
  <c r="Q127" i="24"/>
  <c r="P127" i="24"/>
  <c r="T126" i="24"/>
  <c r="S126" i="24"/>
  <c r="R126" i="24"/>
  <c r="Q126" i="24"/>
  <c r="P126" i="24"/>
  <c r="R125" i="24"/>
  <c r="Q125" i="24"/>
  <c r="T125" i="24" s="1"/>
  <c r="P125" i="24"/>
  <c r="R124" i="24"/>
  <c r="Q124" i="24"/>
  <c r="T124" i="24" s="1"/>
  <c r="P124" i="24"/>
  <c r="S123" i="24"/>
  <c r="R123" i="24"/>
  <c r="T123" i="24" s="1"/>
  <c r="Q123" i="24"/>
  <c r="P123" i="24"/>
  <c r="T122" i="24"/>
  <c r="S122" i="24"/>
  <c r="R122" i="24"/>
  <c r="Q122" i="24"/>
  <c r="P122" i="24"/>
  <c r="R121" i="24"/>
  <c r="Q121" i="24"/>
  <c r="T121" i="24" s="1"/>
  <c r="P121" i="24"/>
  <c r="R120" i="24"/>
  <c r="Q120" i="24"/>
  <c r="T120" i="24" s="1"/>
  <c r="P120" i="24"/>
  <c r="S119" i="24"/>
  <c r="R119" i="24"/>
  <c r="T119" i="24" s="1"/>
  <c r="Q119" i="24"/>
  <c r="P119" i="24"/>
  <c r="T118" i="24"/>
  <c r="S118" i="24"/>
  <c r="R118" i="24"/>
  <c r="Q118" i="24"/>
  <c r="P118" i="24"/>
  <c r="R117" i="24"/>
  <c r="Q117" i="24"/>
  <c r="T117" i="24" s="1"/>
  <c r="P117" i="24"/>
  <c r="R116" i="24"/>
  <c r="Q116" i="24"/>
  <c r="T116" i="24" s="1"/>
  <c r="P116" i="24"/>
  <c r="S115" i="24"/>
  <c r="R115" i="24"/>
  <c r="T115" i="24" s="1"/>
  <c r="Q115" i="24"/>
  <c r="P115" i="24"/>
  <c r="T114" i="24"/>
  <c r="S114" i="24"/>
  <c r="R114" i="24"/>
  <c r="Q114" i="24"/>
  <c r="P114" i="24"/>
  <c r="R113" i="24"/>
  <c r="Q113" i="24"/>
  <c r="T113" i="24" s="1"/>
  <c r="P113" i="24"/>
  <c r="R112" i="24"/>
  <c r="Q112" i="24"/>
  <c r="T112" i="24" s="1"/>
  <c r="P112" i="24"/>
  <c r="S111" i="24"/>
  <c r="R111" i="24"/>
  <c r="T111" i="24" s="1"/>
  <c r="Q111" i="24"/>
  <c r="P111" i="24"/>
  <c r="T110" i="24"/>
  <c r="S110" i="24"/>
  <c r="R110" i="24"/>
  <c r="Q110" i="24"/>
  <c r="P110" i="24"/>
  <c r="R109" i="24"/>
  <c r="Q109" i="24"/>
  <c r="T109" i="24" s="1"/>
  <c r="P109" i="24"/>
  <c r="R108" i="24"/>
  <c r="Q108" i="24"/>
  <c r="P108" i="24"/>
  <c r="S107" i="24"/>
  <c r="R107" i="24"/>
  <c r="T107" i="24" s="1"/>
  <c r="Q107" i="24"/>
  <c r="P107" i="24"/>
  <c r="T106" i="24"/>
  <c r="S106" i="24"/>
  <c r="R106" i="24"/>
  <c r="Q106" i="24"/>
  <c r="P106" i="24"/>
  <c r="R105" i="24"/>
  <c r="Q105" i="24"/>
  <c r="P105" i="24"/>
  <c r="R104" i="24"/>
  <c r="Q104" i="24"/>
  <c r="T104" i="24" s="1"/>
  <c r="P104" i="24"/>
  <c r="S103" i="24"/>
  <c r="R103" i="24"/>
  <c r="T103" i="24" s="1"/>
  <c r="Q103" i="24"/>
  <c r="P103" i="24"/>
  <c r="T102" i="24"/>
  <c r="S102" i="24"/>
  <c r="R102" i="24"/>
  <c r="Q102" i="24"/>
  <c r="P102" i="24"/>
  <c r="R101" i="24"/>
  <c r="Q101" i="24"/>
  <c r="P101" i="24"/>
  <c r="R100" i="24"/>
  <c r="Q100" i="24"/>
  <c r="T100" i="24" s="1"/>
  <c r="P100" i="24"/>
  <c r="S99" i="24"/>
  <c r="R99" i="24"/>
  <c r="T99" i="24" s="1"/>
  <c r="Q99" i="24"/>
  <c r="P99" i="24"/>
  <c r="T98" i="24"/>
  <c r="S98" i="24"/>
  <c r="R98" i="24"/>
  <c r="Q98" i="24"/>
  <c r="P98" i="24"/>
  <c r="R97" i="24"/>
  <c r="Q97" i="24"/>
  <c r="P97" i="24"/>
  <c r="R96" i="24"/>
  <c r="Q96" i="24"/>
  <c r="T96" i="24" s="1"/>
  <c r="P96" i="24"/>
  <c r="S95" i="24"/>
  <c r="R95" i="24"/>
  <c r="T95" i="24" s="1"/>
  <c r="Q95" i="24"/>
  <c r="P95" i="24"/>
  <c r="T94" i="24"/>
  <c r="S94" i="24"/>
  <c r="R94" i="24"/>
  <c r="Q94" i="24"/>
  <c r="P94" i="24"/>
  <c r="R93" i="24"/>
  <c r="Q93" i="24"/>
  <c r="P93" i="24"/>
  <c r="R92" i="24"/>
  <c r="Q92" i="24"/>
  <c r="P92" i="24"/>
  <c r="S91" i="24"/>
  <c r="R91" i="24"/>
  <c r="T91" i="24" s="1"/>
  <c r="Q91" i="24"/>
  <c r="P91" i="24"/>
  <c r="T90" i="24"/>
  <c r="S90" i="24"/>
  <c r="R90" i="24"/>
  <c r="Q90" i="24"/>
  <c r="P90" i="24"/>
  <c r="R89" i="24"/>
  <c r="Q89" i="24"/>
  <c r="P89" i="24"/>
  <c r="R88" i="24"/>
  <c r="Q88" i="24"/>
  <c r="T88" i="24" s="1"/>
  <c r="P88" i="24"/>
  <c r="S87" i="24"/>
  <c r="R87" i="24"/>
  <c r="T87" i="24" s="1"/>
  <c r="Q87" i="24"/>
  <c r="P87" i="24"/>
  <c r="T86" i="24"/>
  <c r="S86" i="24"/>
  <c r="R86" i="24"/>
  <c r="Q86" i="24"/>
  <c r="P86" i="24"/>
  <c r="R85" i="24"/>
  <c r="Q85" i="24"/>
  <c r="P85" i="24"/>
  <c r="R84" i="24"/>
  <c r="Q84" i="24"/>
  <c r="T84" i="24" s="1"/>
  <c r="P84" i="24"/>
  <c r="S83" i="24"/>
  <c r="R83" i="24"/>
  <c r="T83" i="24" s="1"/>
  <c r="Q83" i="24"/>
  <c r="P83" i="24"/>
  <c r="T82" i="24"/>
  <c r="S82" i="24"/>
  <c r="R82" i="24"/>
  <c r="Q82" i="24"/>
  <c r="P82" i="24"/>
  <c r="R81" i="24"/>
  <c r="Q81" i="24"/>
  <c r="P81" i="24"/>
  <c r="R80" i="24"/>
  <c r="Q80" i="24"/>
  <c r="T80" i="24" s="1"/>
  <c r="P80" i="24"/>
  <c r="S79" i="24"/>
  <c r="R79" i="24"/>
  <c r="T79" i="24" s="1"/>
  <c r="Q79" i="24"/>
  <c r="P79" i="24"/>
  <c r="T78" i="24"/>
  <c r="S78" i="24"/>
  <c r="R78" i="24"/>
  <c r="Q78" i="24"/>
  <c r="P78" i="24"/>
  <c r="R77" i="24"/>
  <c r="Q77" i="24"/>
  <c r="P77" i="24"/>
  <c r="R76" i="24"/>
  <c r="Q76" i="24"/>
  <c r="P76" i="24"/>
  <c r="R75" i="24"/>
  <c r="T75" i="24" s="1"/>
  <c r="Q75" i="24"/>
  <c r="P75" i="24"/>
  <c r="T74" i="24"/>
  <c r="S74" i="24"/>
  <c r="R74" i="24"/>
  <c r="Q74" i="24"/>
  <c r="P74" i="24"/>
  <c r="T73" i="24"/>
  <c r="R73" i="24"/>
  <c r="Q73" i="24"/>
  <c r="S73" i="24" s="1"/>
  <c r="P73" i="24"/>
  <c r="R72" i="24"/>
  <c r="Q72" i="24"/>
  <c r="S72" i="24" s="1"/>
  <c r="P72" i="24"/>
  <c r="R71" i="24"/>
  <c r="Q71" i="24"/>
  <c r="T71" i="24" s="1"/>
  <c r="P71" i="24"/>
  <c r="R70" i="24"/>
  <c r="T70" i="24" s="1"/>
  <c r="Q70" i="24"/>
  <c r="P70" i="24"/>
  <c r="T69" i="24"/>
  <c r="S69" i="24"/>
  <c r="R69" i="24"/>
  <c r="Q69" i="24"/>
  <c r="P69" i="24"/>
  <c r="R68" i="24"/>
  <c r="T68" i="24" s="1"/>
  <c r="Q68" i="24"/>
  <c r="P68" i="24"/>
  <c r="R67" i="24"/>
  <c r="S67" i="24" s="1"/>
  <c r="Q67" i="24"/>
  <c r="P67" i="24"/>
  <c r="T66" i="24"/>
  <c r="S66" i="24"/>
  <c r="R66" i="24"/>
  <c r="Q66" i="24"/>
  <c r="P66" i="24"/>
  <c r="T65" i="24"/>
  <c r="R65" i="24"/>
  <c r="Q65" i="24"/>
  <c r="S65" i="24" s="1"/>
  <c r="P65" i="24"/>
  <c r="R64" i="24"/>
  <c r="Q64" i="24"/>
  <c r="S64" i="24" s="1"/>
  <c r="P64" i="24"/>
  <c r="R63" i="24"/>
  <c r="Q63" i="24"/>
  <c r="T63" i="24" s="1"/>
  <c r="P63" i="24"/>
  <c r="R62" i="24"/>
  <c r="T62" i="24" s="1"/>
  <c r="Q62" i="24"/>
  <c r="P62" i="24"/>
  <c r="T61" i="24"/>
  <c r="S61" i="24"/>
  <c r="R61" i="24"/>
  <c r="Q61" i="24"/>
  <c r="P61" i="24"/>
  <c r="R60" i="24"/>
  <c r="T60" i="24" s="1"/>
  <c r="Q60" i="24"/>
  <c r="P60" i="24"/>
  <c r="R59" i="24"/>
  <c r="S59" i="24" s="1"/>
  <c r="Q59" i="24"/>
  <c r="P59" i="24"/>
  <c r="T58" i="24"/>
  <c r="S58" i="24"/>
  <c r="R58" i="24"/>
  <c r="Q58" i="24"/>
  <c r="P58" i="24"/>
  <c r="T57" i="24"/>
  <c r="R57" i="24"/>
  <c r="Q57" i="24"/>
  <c r="S57" i="24" s="1"/>
  <c r="P57" i="24"/>
  <c r="R56" i="24"/>
  <c r="Q56" i="24"/>
  <c r="S56" i="24" s="1"/>
  <c r="P56" i="24"/>
  <c r="R55" i="24"/>
  <c r="Q55" i="24"/>
  <c r="T55" i="24" s="1"/>
  <c r="P55" i="24"/>
  <c r="R54" i="24"/>
  <c r="T54" i="24" s="1"/>
  <c r="Q54" i="24"/>
  <c r="P54" i="24"/>
  <c r="T53" i="24"/>
  <c r="S53" i="24"/>
  <c r="R53" i="24"/>
  <c r="Q53" i="24"/>
  <c r="P53" i="24"/>
  <c r="R52" i="24"/>
  <c r="T52" i="24" s="1"/>
  <c r="Q52" i="24"/>
  <c r="P52" i="24"/>
  <c r="T51" i="24"/>
  <c r="S51" i="24"/>
  <c r="R51" i="24"/>
  <c r="Q51" i="24"/>
  <c r="P51" i="24"/>
  <c r="T50" i="24"/>
  <c r="R50" i="24"/>
  <c r="Q50" i="24"/>
  <c r="S50" i="24" s="1"/>
  <c r="P50" i="24"/>
  <c r="R49" i="24"/>
  <c r="Q49" i="24"/>
  <c r="T49" i="24" s="1"/>
  <c r="P49" i="24"/>
  <c r="R48" i="24"/>
  <c r="T48" i="24" s="1"/>
  <c r="Q48" i="24"/>
  <c r="P48" i="24"/>
  <c r="T47" i="24"/>
  <c r="S47" i="24"/>
  <c r="R47" i="24"/>
  <c r="Q47" i="24"/>
  <c r="P47" i="24"/>
  <c r="T46" i="24"/>
  <c r="R46" i="24"/>
  <c r="Q46" i="24"/>
  <c r="S46" i="24" s="1"/>
  <c r="P46" i="24"/>
  <c r="R45" i="24"/>
  <c r="Q45" i="24"/>
  <c r="T45" i="24" s="1"/>
  <c r="P45" i="24"/>
  <c r="R44" i="24"/>
  <c r="T44" i="24" s="1"/>
  <c r="Q44" i="24"/>
  <c r="P44" i="24"/>
  <c r="T43" i="24"/>
  <c r="S43" i="24"/>
  <c r="R43" i="24"/>
  <c r="Q43" i="24"/>
  <c r="P43" i="24"/>
  <c r="T42" i="24"/>
  <c r="R42" i="24"/>
  <c r="Q42" i="24"/>
  <c r="S42" i="24" s="1"/>
  <c r="P42" i="24"/>
  <c r="R41" i="24"/>
  <c r="Q41" i="24"/>
  <c r="T41" i="24" s="1"/>
  <c r="P41" i="24"/>
  <c r="R40" i="24"/>
  <c r="T40" i="24" s="1"/>
  <c r="Q40" i="24"/>
  <c r="P40" i="24"/>
  <c r="T39" i="24"/>
  <c r="S39" i="24"/>
  <c r="R39" i="24"/>
  <c r="Q39" i="24"/>
  <c r="P39" i="24"/>
  <c r="T38" i="24"/>
  <c r="R38" i="24"/>
  <c r="Q38" i="24"/>
  <c r="S38" i="24" s="1"/>
  <c r="P38" i="24"/>
  <c r="R37" i="24"/>
  <c r="Q37" i="24"/>
  <c r="T37" i="24" s="1"/>
  <c r="P37" i="24"/>
  <c r="R36" i="24"/>
  <c r="T36" i="24" s="1"/>
  <c r="Q36" i="24"/>
  <c r="P36" i="24"/>
  <c r="T35" i="24"/>
  <c r="S35" i="24"/>
  <c r="R35" i="24"/>
  <c r="Q35" i="24"/>
  <c r="P35" i="24"/>
  <c r="R34" i="24"/>
  <c r="Q34" i="24"/>
  <c r="T34" i="24" s="1"/>
  <c r="P34" i="24"/>
  <c r="T33" i="24"/>
  <c r="S33" i="24"/>
  <c r="R33" i="24"/>
  <c r="Q33" i="24"/>
  <c r="P33" i="24"/>
  <c r="R32" i="24"/>
  <c r="Q32" i="24"/>
  <c r="T32" i="24" s="1"/>
  <c r="P32" i="24"/>
  <c r="T31" i="24"/>
  <c r="S31" i="24"/>
  <c r="R31" i="24"/>
  <c r="Q31" i="24"/>
  <c r="P31" i="24"/>
  <c r="R30" i="24"/>
  <c r="Q30" i="24"/>
  <c r="P30" i="24"/>
  <c r="R29" i="24"/>
  <c r="Q29" i="24"/>
  <c r="P29" i="24"/>
  <c r="T28" i="24"/>
  <c r="S28" i="24"/>
  <c r="R28" i="24"/>
  <c r="Q28" i="24"/>
  <c r="P28" i="24"/>
  <c r="T27" i="24"/>
  <c r="R27" i="24"/>
  <c r="Q27" i="24"/>
  <c r="S27" i="24" s="1"/>
  <c r="P27" i="24"/>
  <c r="R26" i="24"/>
  <c r="Q26" i="24"/>
  <c r="P26" i="24"/>
  <c r="T25" i="24"/>
  <c r="R25" i="24"/>
  <c r="Q25" i="24"/>
  <c r="S25" i="24" s="1"/>
  <c r="P25" i="24"/>
  <c r="R24" i="24"/>
  <c r="Q24" i="24"/>
  <c r="P24" i="24"/>
  <c r="T23" i="24"/>
  <c r="R23" i="24"/>
  <c r="Q23" i="24"/>
  <c r="S23" i="24" s="1"/>
  <c r="P23" i="24"/>
  <c r="R22" i="24"/>
  <c r="Q22" i="24"/>
  <c r="P22" i="24"/>
  <c r="T21" i="24"/>
  <c r="R21" i="24"/>
  <c r="Q21" i="24"/>
  <c r="S21" i="24" s="1"/>
  <c r="P21" i="24"/>
  <c r="B21" i="24"/>
  <c r="R20" i="24"/>
  <c r="Q20" i="24"/>
  <c r="P20" i="24"/>
  <c r="B20" i="24"/>
  <c r="B22" i="24" s="1"/>
  <c r="T19" i="24"/>
  <c r="R19" i="24"/>
  <c r="Q19" i="24"/>
  <c r="S19" i="24" s="1"/>
  <c r="P19" i="24"/>
  <c r="R18" i="24"/>
  <c r="Q18" i="24"/>
  <c r="P18" i="24"/>
  <c r="R17" i="24"/>
  <c r="Q17" i="24"/>
  <c r="P17" i="24"/>
  <c r="T16" i="24"/>
  <c r="S16" i="24"/>
  <c r="R16" i="24"/>
  <c r="Q16" i="24"/>
  <c r="P16" i="24"/>
  <c r="T15" i="24"/>
  <c r="R15" i="24"/>
  <c r="Q15" i="24"/>
  <c r="S15" i="24" s="1"/>
  <c r="P15" i="24"/>
  <c r="A15" i="24"/>
  <c r="T14" i="24"/>
  <c r="R14" i="24"/>
  <c r="Q14" i="24"/>
  <c r="S14" i="24" s="1"/>
  <c r="P14" i="24"/>
  <c r="A14" i="24"/>
  <c r="T13" i="24"/>
  <c r="R13" i="24"/>
  <c r="Q13" i="24"/>
  <c r="S13" i="24" s="1"/>
  <c r="P13" i="24"/>
  <c r="A13" i="24"/>
  <c r="T12" i="24"/>
  <c r="R12" i="24"/>
  <c r="Q12" i="24"/>
  <c r="S12" i="24" s="1"/>
  <c r="P12" i="24"/>
  <c r="R11" i="24"/>
  <c r="Q11" i="24"/>
  <c r="P11" i="24"/>
  <c r="R10" i="24"/>
  <c r="Q10" i="24"/>
  <c r="P10" i="24"/>
  <c r="T9" i="24"/>
  <c r="S9" i="24"/>
  <c r="R9" i="24"/>
  <c r="Q9" i="24"/>
  <c r="P9" i="24"/>
  <c r="E9" i="24"/>
  <c r="D9" i="24"/>
  <c r="R8" i="24"/>
  <c r="T8" i="24" s="1"/>
  <c r="Q8" i="24"/>
  <c r="P8" i="24"/>
  <c r="E8" i="24"/>
  <c r="D8" i="24"/>
  <c r="R7" i="24"/>
  <c r="Q7" i="24"/>
  <c r="T7" i="24" s="1"/>
  <c r="P7" i="24"/>
  <c r="E7" i="24"/>
  <c r="D7" i="24"/>
  <c r="R6" i="24"/>
  <c r="Q6" i="24"/>
  <c r="T6" i="24" s="1"/>
  <c r="P6" i="24"/>
  <c r="E6" i="24"/>
  <c r="D6" i="24"/>
  <c r="C6" i="24"/>
  <c r="W25" i="23"/>
  <c r="V25" i="23"/>
  <c r="U25" i="23"/>
  <c r="T25" i="23"/>
  <c r="S25" i="23"/>
  <c r="R25" i="23"/>
  <c r="Q25" i="23"/>
  <c r="P25" i="23"/>
  <c r="O25" i="23"/>
  <c r="N25" i="23"/>
  <c r="M25" i="23"/>
  <c r="L25" i="23"/>
  <c r="K25" i="23"/>
  <c r="J25" i="23"/>
  <c r="I25" i="23"/>
  <c r="H25" i="23"/>
  <c r="G25" i="23"/>
  <c r="F25" i="23"/>
  <c r="E25" i="23"/>
  <c r="D25" i="23"/>
  <c r="W24" i="23"/>
  <c r="V24" i="23"/>
  <c r="U24" i="23"/>
  <c r="T24" i="23"/>
  <c r="S24" i="23"/>
  <c r="R24" i="23"/>
  <c r="Q24" i="23"/>
  <c r="P24" i="23"/>
  <c r="O24" i="23"/>
  <c r="N24" i="23"/>
  <c r="M24" i="23"/>
  <c r="L24" i="23"/>
  <c r="K24" i="23"/>
  <c r="J24" i="23"/>
  <c r="I24" i="23"/>
  <c r="H24" i="23"/>
  <c r="G24" i="23"/>
  <c r="F24" i="23"/>
  <c r="E24" i="23"/>
  <c r="D24" i="23"/>
  <c r="W23" i="23"/>
  <c r="V23" i="23"/>
  <c r="U23" i="23"/>
  <c r="T23" i="23"/>
  <c r="S23" i="23"/>
  <c r="R23" i="23"/>
  <c r="Q23" i="23"/>
  <c r="P23" i="23"/>
  <c r="O23" i="23"/>
  <c r="N23" i="23"/>
  <c r="M23" i="23"/>
  <c r="L23" i="23"/>
  <c r="K23" i="23"/>
  <c r="J23" i="23"/>
  <c r="I23" i="23"/>
  <c r="H23" i="23"/>
  <c r="G23" i="23"/>
  <c r="F23" i="23"/>
  <c r="E23" i="23"/>
  <c r="D23" i="23"/>
  <c r="W22" i="23"/>
  <c r="V22" i="23"/>
  <c r="U22" i="23"/>
  <c r="T22" i="23"/>
  <c r="S22" i="23"/>
  <c r="R22" i="23"/>
  <c r="Q22" i="23"/>
  <c r="P22" i="23"/>
  <c r="O22" i="23"/>
  <c r="N22" i="23"/>
  <c r="M22" i="23"/>
  <c r="L22" i="23"/>
  <c r="K22" i="23"/>
  <c r="J22" i="23"/>
  <c r="I22" i="23"/>
  <c r="H22" i="23"/>
  <c r="G22" i="23"/>
  <c r="F22" i="23"/>
  <c r="E22" i="23"/>
  <c r="D22" i="23"/>
  <c r="W21" i="23"/>
  <c r="V21" i="23"/>
  <c r="U21" i="23"/>
  <c r="T21" i="23"/>
  <c r="S21" i="23"/>
  <c r="R21" i="23"/>
  <c r="Q21" i="23"/>
  <c r="P21" i="23"/>
  <c r="O21" i="23"/>
  <c r="N21" i="23"/>
  <c r="M21" i="23"/>
  <c r="L21" i="23"/>
  <c r="K21" i="23"/>
  <c r="J21" i="23"/>
  <c r="I21" i="23"/>
  <c r="H21" i="23"/>
  <c r="G21" i="23"/>
  <c r="F21" i="23"/>
  <c r="E21" i="23"/>
  <c r="D21" i="23"/>
  <c r="W20" i="23"/>
  <c r="V20" i="23"/>
  <c r="U20" i="23"/>
  <c r="T20" i="23"/>
  <c r="S20" i="23"/>
  <c r="R20" i="23"/>
  <c r="Q20" i="23"/>
  <c r="P20" i="23"/>
  <c r="O20" i="23"/>
  <c r="N20" i="23"/>
  <c r="M20" i="23"/>
  <c r="L20" i="23"/>
  <c r="K20" i="23"/>
  <c r="J20" i="23"/>
  <c r="I20" i="23"/>
  <c r="H20" i="23"/>
  <c r="G20" i="23"/>
  <c r="F20" i="23"/>
  <c r="E20" i="23"/>
  <c r="D20" i="23"/>
  <c r="W19" i="23"/>
  <c r="V19" i="23"/>
  <c r="U19" i="23"/>
  <c r="T19" i="23"/>
  <c r="S19" i="23"/>
  <c r="R19" i="23"/>
  <c r="Q19" i="23"/>
  <c r="P19" i="23"/>
  <c r="O19" i="23"/>
  <c r="N19" i="23"/>
  <c r="M19" i="23"/>
  <c r="L19" i="23"/>
  <c r="K19" i="23"/>
  <c r="J19" i="23"/>
  <c r="I19" i="23"/>
  <c r="H19" i="23"/>
  <c r="G19" i="23"/>
  <c r="F19" i="23"/>
  <c r="E19" i="23"/>
  <c r="D19" i="23"/>
  <c r="W18" i="23"/>
  <c r="V18" i="23"/>
  <c r="U18" i="23"/>
  <c r="T18" i="23"/>
  <c r="S18" i="23"/>
  <c r="R18" i="23"/>
  <c r="Q18" i="23"/>
  <c r="P18" i="23"/>
  <c r="O18" i="23"/>
  <c r="N18" i="23"/>
  <c r="M18" i="23"/>
  <c r="L18" i="23"/>
  <c r="K18" i="23"/>
  <c r="J18" i="23"/>
  <c r="I18" i="23"/>
  <c r="H18" i="23"/>
  <c r="G18" i="23"/>
  <c r="F18" i="23"/>
  <c r="E18" i="23"/>
  <c r="D18" i="23"/>
  <c r="W17" i="23"/>
  <c r="V17" i="23"/>
  <c r="U17" i="23"/>
  <c r="T17" i="23"/>
  <c r="S17" i="23"/>
  <c r="R17" i="23"/>
  <c r="Q17" i="23"/>
  <c r="P17" i="23"/>
  <c r="O17" i="23"/>
  <c r="N17" i="23"/>
  <c r="M17" i="23"/>
  <c r="L17" i="23"/>
  <c r="K17" i="23"/>
  <c r="J17" i="23"/>
  <c r="I17" i="23"/>
  <c r="H17" i="23"/>
  <c r="G17" i="23"/>
  <c r="F17" i="23"/>
  <c r="E17" i="23"/>
  <c r="D17" i="23"/>
  <c r="W16" i="23"/>
  <c r="V16" i="23"/>
  <c r="U16" i="23"/>
  <c r="T16" i="23"/>
  <c r="S16" i="23"/>
  <c r="R16" i="23"/>
  <c r="Q16" i="23"/>
  <c r="P16" i="23"/>
  <c r="O16" i="23"/>
  <c r="N16" i="23"/>
  <c r="M16" i="23"/>
  <c r="L16" i="23"/>
  <c r="K16" i="23"/>
  <c r="J16" i="23"/>
  <c r="I16" i="23"/>
  <c r="H16" i="23"/>
  <c r="G16" i="23"/>
  <c r="F16" i="23"/>
  <c r="E16" i="23"/>
  <c r="D16" i="23"/>
  <c r="W15" i="23"/>
  <c r="V15" i="23"/>
  <c r="U15" i="23"/>
  <c r="T15" i="23"/>
  <c r="S15" i="23"/>
  <c r="R15" i="23"/>
  <c r="Q15" i="23"/>
  <c r="P15" i="23"/>
  <c r="O15" i="23"/>
  <c r="N15" i="23"/>
  <c r="M15" i="23"/>
  <c r="L15" i="23"/>
  <c r="K15" i="23"/>
  <c r="J15" i="23"/>
  <c r="I15" i="23"/>
  <c r="H15" i="23"/>
  <c r="G15" i="23"/>
  <c r="F15" i="23"/>
  <c r="E15" i="23"/>
  <c r="D15" i="23"/>
  <c r="W14" i="23"/>
  <c r="V14" i="23"/>
  <c r="U14" i="23"/>
  <c r="T14" i="23"/>
  <c r="S14" i="23"/>
  <c r="R14" i="23"/>
  <c r="Q14" i="23"/>
  <c r="P14" i="23"/>
  <c r="O14" i="23"/>
  <c r="N14" i="23"/>
  <c r="M14" i="23"/>
  <c r="L14" i="23"/>
  <c r="K14" i="23"/>
  <c r="J14" i="23"/>
  <c r="I14" i="23"/>
  <c r="H14" i="23"/>
  <c r="G14" i="23"/>
  <c r="F14" i="23"/>
  <c r="E14" i="23"/>
  <c r="D14" i="23"/>
  <c r="W13" i="23"/>
  <c r="V13" i="23"/>
  <c r="U13" i="23"/>
  <c r="T13" i="23"/>
  <c r="S13" i="23"/>
  <c r="R13" i="23"/>
  <c r="Q13" i="23"/>
  <c r="P13" i="23"/>
  <c r="O13" i="23"/>
  <c r="N13" i="23"/>
  <c r="M13" i="23"/>
  <c r="L13" i="23"/>
  <c r="K13" i="23"/>
  <c r="J13" i="23"/>
  <c r="I13" i="23"/>
  <c r="H13" i="23"/>
  <c r="G13" i="23"/>
  <c r="F13" i="23"/>
  <c r="E13" i="23"/>
  <c r="D13" i="23"/>
  <c r="W12" i="23"/>
  <c r="V12" i="23"/>
  <c r="U12" i="23"/>
  <c r="T12" i="23"/>
  <c r="S12" i="23"/>
  <c r="R12" i="23"/>
  <c r="Q12" i="23"/>
  <c r="P12" i="23"/>
  <c r="O12" i="23"/>
  <c r="N12" i="23"/>
  <c r="M12" i="23"/>
  <c r="L12" i="23"/>
  <c r="K12" i="23"/>
  <c r="J12" i="23"/>
  <c r="I12" i="23"/>
  <c r="H12" i="23"/>
  <c r="G12" i="23"/>
  <c r="F12" i="23"/>
  <c r="E12" i="23"/>
  <c r="D12" i="23"/>
  <c r="W11" i="23"/>
  <c r="V11" i="23"/>
  <c r="U11" i="23"/>
  <c r="T11" i="23"/>
  <c r="S11" i="23"/>
  <c r="R11" i="23"/>
  <c r="Q11" i="23"/>
  <c r="P11" i="23"/>
  <c r="O11" i="23"/>
  <c r="N11" i="23"/>
  <c r="M11" i="23"/>
  <c r="L11" i="23"/>
  <c r="K11" i="23"/>
  <c r="J11" i="23"/>
  <c r="I11" i="23"/>
  <c r="H11" i="23"/>
  <c r="G11" i="23"/>
  <c r="F11" i="23"/>
  <c r="E11" i="23"/>
  <c r="D11" i="23"/>
  <c r="W10" i="23"/>
  <c r="V10" i="23"/>
  <c r="U10" i="23"/>
  <c r="T10" i="23"/>
  <c r="S10" i="23"/>
  <c r="R10" i="23"/>
  <c r="Q10" i="23"/>
  <c r="P10" i="23"/>
  <c r="O10" i="23"/>
  <c r="N10" i="23"/>
  <c r="M10" i="23"/>
  <c r="L10" i="23"/>
  <c r="K10" i="23"/>
  <c r="J10" i="23"/>
  <c r="I10" i="23"/>
  <c r="H10" i="23"/>
  <c r="G10" i="23"/>
  <c r="F10" i="23"/>
  <c r="E10" i="23"/>
  <c r="D10" i="23"/>
  <c r="W9" i="23"/>
  <c r="G40" i="23" s="1"/>
  <c r="V9" i="23"/>
  <c r="F40" i="23" s="1"/>
  <c r="U9" i="23"/>
  <c r="E40" i="23" s="1"/>
  <c r="T9" i="23"/>
  <c r="D40" i="23" s="1"/>
  <c r="S9" i="23"/>
  <c r="C40" i="23" s="1"/>
  <c r="R9" i="23"/>
  <c r="G39" i="23" s="1"/>
  <c r="Q9" i="23"/>
  <c r="F39" i="23" s="1"/>
  <c r="P9" i="23"/>
  <c r="E39" i="23" s="1"/>
  <c r="O9" i="23"/>
  <c r="D39" i="23" s="1"/>
  <c r="N9" i="23"/>
  <c r="C39" i="23" s="1"/>
  <c r="M9" i="23"/>
  <c r="G38" i="23" s="1"/>
  <c r="L9" i="23"/>
  <c r="F38" i="23" s="1"/>
  <c r="K9" i="23"/>
  <c r="E38" i="23" s="1"/>
  <c r="J9" i="23"/>
  <c r="D38" i="23" s="1"/>
  <c r="I9" i="23"/>
  <c r="C38" i="23" s="1"/>
  <c r="H9" i="23"/>
  <c r="G37" i="23" s="1"/>
  <c r="G9" i="23"/>
  <c r="F37" i="23" s="1"/>
  <c r="F9" i="23"/>
  <c r="E37" i="23" s="1"/>
  <c r="E9" i="23"/>
  <c r="D37" i="23" s="1"/>
  <c r="D9" i="23"/>
  <c r="C37" i="23" s="1"/>
  <c r="W8" i="23"/>
  <c r="V8" i="23"/>
  <c r="U8" i="23"/>
  <c r="T8" i="23"/>
  <c r="S8" i="23"/>
  <c r="R8" i="23"/>
  <c r="Q8" i="23"/>
  <c r="P8" i="23"/>
  <c r="O8" i="23"/>
  <c r="N8" i="23"/>
  <c r="M8" i="23"/>
  <c r="L8" i="23"/>
  <c r="K8" i="23"/>
  <c r="J8" i="23"/>
  <c r="I8" i="23"/>
  <c r="H8" i="23"/>
  <c r="G8" i="23"/>
  <c r="F8" i="23"/>
  <c r="E8" i="23"/>
  <c r="D8" i="23"/>
  <c r="W7" i="23"/>
  <c r="G44" i="23" s="1"/>
  <c r="V7" i="23"/>
  <c r="F44" i="23" s="1"/>
  <c r="U7" i="23"/>
  <c r="E36" i="23" s="1"/>
  <c r="T7" i="23"/>
  <c r="D44" i="23" s="1"/>
  <c r="S7" i="23"/>
  <c r="C44" i="23" s="1"/>
  <c r="R7" i="23"/>
  <c r="G35" i="23" s="1"/>
  <c r="Q7" i="23"/>
  <c r="F35" i="23" s="1"/>
  <c r="P7" i="23"/>
  <c r="E43" i="23" s="1"/>
  <c r="O7" i="23"/>
  <c r="D43" i="23" s="1"/>
  <c r="N7" i="23"/>
  <c r="C35" i="23" s="1"/>
  <c r="M7" i="23"/>
  <c r="G34" i="23" s="1"/>
  <c r="L7" i="23"/>
  <c r="F42" i="23" s="1"/>
  <c r="K7" i="23"/>
  <c r="E42" i="23" s="1"/>
  <c r="J7" i="23"/>
  <c r="D42" i="23" s="1"/>
  <c r="I7" i="23"/>
  <c r="C42" i="23" s="1"/>
  <c r="H7" i="23"/>
  <c r="G41" i="23" s="1"/>
  <c r="G7" i="23"/>
  <c r="F41" i="23" s="1"/>
  <c r="F7" i="23"/>
  <c r="E41" i="23" s="1"/>
  <c r="E7" i="23"/>
  <c r="D41" i="23" s="1"/>
  <c r="D7" i="23"/>
  <c r="C41" i="23" s="1"/>
  <c r="W6" i="23"/>
  <c r="G48" i="23" s="1"/>
  <c r="V6" i="23"/>
  <c r="F48" i="23" s="1"/>
  <c r="U6" i="23"/>
  <c r="E32" i="23" s="1"/>
  <c r="T6" i="23"/>
  <c r="D32" i="23" s="1"/>
  <c r="S6" i="23"/>
  <c r="C32" i="23" s="1"/>
  <c r="R6" i="23"/>
  <c r="G47" i="23" s="1"/>
  <c r="Q6" i="23"/>
  <c r="F47" i="23" s="1"/>
  <c r="P6" i="23"/>
  <c r="E47" i="23" s="1"/>
  <c r="O6" i="23"/>
  <c r="D47" i="23" s="1"/>
  <c r="N6" i="23"/>
  <c r="C31" i="23" s="1"/>
  <c r="M6" i="23"/>
  <c r="G46" i="23" s="1"/>
  <c r="L6" i="23"/>
  <c r="F46" i="23" s="1"/>
  <c r="K6" i="23"/>
  <c r="E30" i="23" s="1"/>
  <c r="J6" i="23"/>
  <c r="D30" i="23" s="1"/>
  <c r="I6" i="23"/>
  <c r="C46" i="23" s="1"/>
  <c r="H6" i="23"/>
  <c r="G29" i="23" s="1"/>
  <c r="G6" i="23"/>
  <c r="F29" i="23" s="1"/>
  <c r="F6" i="23"/>
  <c r="E29" i="23" s="1"/>
  <c r="E6" i="23"/>
  <c r="D45" i="23" s="1"/>
  <c r="D6" i="23"/>
  <c r="C45" i="23" s="1"/>
  <c r="I10" i="22"/>
  <c r="I9" i="22"/>
  <c r="I8" i="22"/>
  <c r="I7" i="22"/>
  <c r="C3" i="22"/>
  <c r="I33" i="21"/>
  <c r="H33" i="21"/>
  <c r="G33" i="21"/>
  <c r="F33" i="21"/>
  <c r="E33" i="21"/>
  <c r="D33" i="21"/>
  <c r="C33" i="21"/>
  <c r="I32" i="21"/>
  <c r="H32" i="21"/>
  <c r="G32" i="21"/>
  <c r="F32" i="21"/>
  <c r="E32" i="21"/>
  <c r="D32" i="21"/>
  <c r="C32" i="21"/>
  <c r="H31" i="21"/>
  <c r="I31" i="21" s="1"/>
  <c r="G31" i="21"/>
  <c r="F31" i="21"/>
  <c r="E31" i="21"/>
  <c r="D31" i="21"/>
  <c r="C31" i="21"/>
  <c r="G30" i="21"/>
  <c r="H30" i="21" s="1"/>
  <c r="I30" i="21" s="1"/>
  <c r="F30" i="21"/>
  <c r="E30" i="21"/>
  <c r="D30" i="21"/>
  <c r="C30" i="21"/>
  <c r="I29" i="21"/>
  <c r="H29" i="21"/>
  <c r="G29" i="21"/>
  <c r="F29" i="21"/>
  <c r="E29" i="21"/>
  <c r="D29" i="21"/>
  <c r="C29" i="21"/>
  <c r="I28" i="21"/>
  <c r="H28" i="21"/>
  <c r="G28" i="21"/>
  <c r="F28" i="21"/>
  <c r="E28" i="21"/>
  <c r="D28" i="21"/>
  <c r="C28" i="21"/>
  <c r="H27" i="21"/>
  <c r="I27" i="21" s="1"/>
  <c r="G27" i="21"/>
  <c r="F27" i="21"/>
  <c r="E27" i="21"/>
  <c r="D27" i="21"/>
  <c r="C27" i="21"/>
  <c r="G26" i="21"/>
  <c r="H26" i="21" s="1"/>
  <c r="I26" i="21" s="1"/>
  <c r="F26" i="21"/>
  <c r="E26" i="21"/>
  <c r="D26" i="21"/>
  <c r="C26" i="21"/>
  <c r="I25" i="21"/>
  <c r="H25" i="21"/>
  <c r="G25" i="21"/>
  <c r="F25" i="21"/>
  <c r="E25" i="21"/>
  <c r="D25" i="21"/>
  <c r="C25" i="21"/>
  <c r="I24" i="21"/>
  <c r="H24" i="21"/>
  <c r="G24" i="21"/>
  <c r="F24" i="21"/>
  <c r="E24" i="21"/>
  <c r="D24" i="21"/>
  <c r="C24" i="21"/>
  <c r="H23" i="21"/>
  <c r="I23" i="21" s="1"/>
  <c r="G23" i="21"/>
  <c r="F23" i="21"/>
  <c r="E23" i="21"/>
  <c r="D23" i="21"/>
  <c r="C23" i="21"/>
  <c r="G22" i="21"/>
  <c r="H22" i="21" s="1"/>
  <c r="I22" i="21" s="1"/>
  <c r="F22" i="21"/>
  <c r="E22" i="21"/>
  <c r="D22" i="21"/>
  <c r="C22" i="21"/>
  <c r="I21" i="21"/>
  <c r="H21" i="21"/>
  <c r="G21" i="21"/>
  <c r="F21" i="21"/>
  <c r="E21" i="21"/>
  <c r="D21" i="21"/>
  <c r="C21" i="21"/>
  <c r="I20" i="21"/>
  <c r="H20" i="21"/>
  <c r="G20" i="21"/>
  <c r="F20" i="21"/>
  <c r="E20" i="21"/>
  <c r="D20" i="21"/>
  <c r="C20" i="21"/>
  <c r="H19" i="21"/>
  <c r="I19" i="21" s="1"/>
  <c r="G19" i="21"/>
  <c r="F19" i="21"/>
  <c r="E19" i="21"/>
  <c r="D19" i="21"/>
  <c r="C19" i="21"/>
  <c r="G18" i="21"/>
  <c r="H18" i="21" s="1"/>
  <c r="I18" i="21" s="1"/>
  <c r="F18" i="21"/>
  <c r="E18" i="21"/>
  <c r="D18" i="21"/>
  <c r="C18" i="21"/>
  <c r="I17" i="21"/>
  <c r="H17" i="21"/>
  <c r="G17" i="21"/>
  <c r="F9" i="26" s="1"/>
  <c r="F17" i="21"/>
  <c r="E9" i="26" s="1"/>
  <c r="E17" i="21"/>
  <c r="D9" i="26" s="1"/>
  <c r="D17" i="21"/>
  <c r="C9" i="26" s="1"/>
  <c r="C17" i="21"/>
  <c r="B9" i="26" s="1"/>
  <c r="I16" i="21"/>
  <c r="H16" i="21"/>
  <c r="G16" i="21"/>
  <c r="F8" i="26" s="1"/>
  <c r="F16" i="21"/>
  <c r="E8" i="26" s="1"/>
  <c r="E16" i="21"/>
  <c r="D8" i="26" s="1"/>
  <c r="D16" i="21"/>
  <c r="C8" i="26" s="1"/>
  <c r="C16" i="21"/>
  <c r="B8" i="26" s="1"/>
  <c r="H15" i="21"/>
  <c r="I15" i="21" s="1"/>
  <c r="G15" i="21"/>
  <c r="F7" i="26" s="1"/>
  <c r="F15" i="21"/>
  <c r="E7" i="26" s="1"/>
  <c r="E15" i="21"/>
  <c r="D7" i="26" s="1"/>
  <c r="D15" i="21"/>
  <c r="C7" i="26" s="1"/>
  <c r="C15" i="21"/>
  <c r="B7" i="26" s="1"/>
  <c r="G14" i="21"/>
  <c r="F6" i="26" s="1"/>
  <c r="F14" i="21"/>
  <c r="E6" i="26" s="1"/>
  <c r="E14" i="21"/>
  <c r="D6" i="26" s="1"/>
  <c r="D14" i="21"/>
  <c r="C6" i="26" s="1"/>
  <c r="C14" i="21"/>
  <c r="B6" i="26" s="1"/>
  <c r="J9" i="21"/>
  <c r="K9" i="21" s="1"/>
  <c r="I9" i="21"/>
  <c r="H9" i="21"/>
  <c r="G9" i="21"/>
  <c r="F9" i="21"/>
  <c r="E9" i="21"/>
  <c r="D9" i="21"/>
  <c r="C9" i="21"/>
  <c r="B9" i="21"/>
  <c r="K8" i="21"/>
  <c r="J8" i="21"/>
  <c r="I8" i="21"/>
  <c r="H8" i="21"/>
  <c r="G8" i="21"/>
  <c r="F8" i="21"/>
  <c r="E8" i="21"/>
  <c r="D8" i="21"/>
  <c r="C8" i="21"/>
  <c r="B8" i="21"/>
  <c r="J7" i="21"/>
  <c r="K7" i="21" s="1"/>
  <c r="I7" i="21"/>
  <c r="H7" i="21"/>
  <c r="G7" i="21"/>
  <c r="F7" i="21"/>
  <c r="E7" i="21"/>
  <c r="D7" i="21"/>
  <c r="C7" i="21"/>
  <c r="B7" i="21"/>
  <c r="K6" i="21"/>
  <c r="J6" i="21"/>
  <c r="I6" i="21"/>
  <c r="H6" i="21"/>
  <c r="G6" i="21"/>
  <c r="F6" i="21"/>
  <c r="E6" i="21"/>
  <c r="D6" i="21"/>
  <c r="C6" i="21"/>
  <c r="C10" i="21" s="1"/>
  <c r="B6" i="21"/>
  <c r="I21" i="20"/>
  <c r="I20" i="20"/>
  <c r="I19" i="20"/>
  <c r="I18" i="20"/>
  <c r="I17" i="20"/>
  <c r="I16" i="20"/>
  <c r="I15" i="20"/>
  <c r="I14" i="20"/>
  <c r="I13" i="20"/>
  <c r="I12" i="20"/>
  <c r="I11" i="20"/>
  <c r="I10" i="20"/>
  <c r="I9" i="20"/>
  <c r="I8" i="20"/>
  <c r="I7" i="20"/>
  <c r="I6" i="20"/>
  <c r="I5" i="20"/>
  <c r="S30" i="15"/>
  <c r="R30" i="15"/>
  <c r="S28" i="15"/>
  <c r="R27" i="15"/>
  <c r="R26" i="15"/>
  <c r="S24" i="15"/>
  <c r="R23" i="15"/>
  <c r="S22" i="15"/>
  <c r="S20" i="15"/>
  <c r="R20" i="15"/>
  <c r="R19" i="15"/>
  <c r="S16" i="15"/>
  <c r="R15" i="15"/>
  <c r="B15" i="15"/>
  <c r="S14" i="15"/>
  <c r="B14" i="15"/>
  <c r="S13" i="15"/>
  <c r="B13" i="15"/>
  <c r="R12" i="15"/>
  <c r="B12" i="15"/>
  <c r="B11" i="15"/>
  <c r="S10" i="15"/>
  <c r="B10" i="15"/>
  <c r="S9" i="15"/>
  <c r="B9" i="15"/>
  <c r="S8" i="15"/>
  <c r="R8" i="15"/>
  <c r="B8" i="15"/>
  <c r="B7" i="15"/>
  <c r="S6" i="15"/>
  <c r="Q6" i="15"/>
  <c r="P6" i="15"/>
  <c r="B6" i="15"/>
  <c r="C107" i="12"/>
  <c r="C108" i="12" s="1"/>
  <c r="C109" i="12" s="1"/>
  <c r="C110" i="12" s="1"/>
  <c r="C111" i="12" s="1"/>
  <c r="C112" i="12" s="1"/>
  <c r="C113" i="12" s="1"/>
  <c r="C114" i="12" s="1"/>
  <c r="C115" i="12" s="1"/>
  <c r="C116" i="12" s="1"/>
  <c r="C117" i="12" s="1"/>
  <c r="C118" i="12" s="1"/>
  <c r="C119" i="12" s="1"/>
  <c r="C120" i="12" s="1"/>
  <c r="C121" i="12" s="1"/>
  <c r="C122" i="12" s="1"/>
  <c r="H139" i="7"/>
  <c r="G139" i="7"/>
  <c r="E139" i="7"/>
  <c r="C139" i="7"/>
  <c r="B139" i="7"/>
  <c r="A139" i="7"/>
  <c r="H138" i="7"/>
  <c r="G138" i="7"/>
  <c r="E138" i="7"/>
  <c r="C138" i="7"/>
  <c r="B138" i="7"/>
  <c r="A138" i="7"/>
  <c r="H137" i="7"/>
  <c r="G137" i="7"/>
  <c r="E137" i="7"/>
  <c r="C137" i="7"/>
  <c r="B137" i="7"/>
  <c r="A137" i="7"/>
  <c r="H136" i="7"/>
  <c r="G136" i="7"/>
  <c r="E136" i="7"/>
  <c r="C136" i="7"/>
  <c r="B136" i="7"/>
  <c r="A136" i="7"/>
  <c r="H135" i="7"/>
  <c r="G135" i="7"/>
  <c r="E135" i="7"/>
  <c r="C135" i="7"/>
  <c r="B135" i="7"/>
  <c r="A135" i="7"/>
  <c r="H134" i="7"/>
  <c r="G134" i="7"/>
  <c r="E134" i="7"/>
  <c r="C134" i="7"/>
  <c r="B134" i="7"/>
  <c r="A134" i="7"/>
  <c r="H133" i="7"/>
  <c r="G133" i="7"/>
  <c r="E133" i="7"/>
  <c r="C133" i="7"/>
  <c r="B133" i="7"/>
  <c r="A133" i="7"/>
  <c r="H132" i="7"/>
  <c r="G132" i="7"/>
  <c r="E132" i="7"/>
  <c r="C132" i="7"/>
  <c r="B132" i="7"/>
  <c r="A132" i="7"/>
  <c r="H131" i="7"/>
  <c r="G131" i="7"/>
  <c r="E131" i="7"/>
  <c r="C131" i="7"/>
  <c r="B131" i="7"/>
  <c r="A131" i="7"/>
  <c r="H130" i="7"/>
  <c r="G130" i="7"/>
  <c r="E130" i="7"/>
  <c r="C130" i="7"/>
  <c r="B130" i="7"/>
  <c r="A130" i="7"/>
  <c r="H129" i="7"/>
  <c r="G129" i="7"/>
  <c r="E129" i="7"/>
  <c r="C129" i="7"/>
  <c r="B129" i="7"/>
  <c r="A129" i="7"/>
  <c r="H128" i="7"/>
  <c r="G128" i="7"/>
  <c r="E128" i="7"/>
  <c r="C128" i="7"/>
  <c r="B128" i="7"/>
  <c r="A128" i="7"/>
  <c r="H127" i="7"/>
  <c r="G127" i="7"/>
  <c r="E127" i="7"/>
  <c r="C127" i="7"/>
  <c r="B127" i="7"/>
  <c r="A127" i="7"/>
  <c r="E122" i="7"/>
  <c r="B122" i="7"/>
  <c r="E121" i="7"/>
  <c r="B121" i="7"/>
  <c r="E120" i="7"/>
  <c r="B120" i="7"/>
  <c r="E119" i="7"/>
  <c r="B119" i="7"/>
  <c r="B115" i="7"/>
  <c r="B105" i="7"/>
  <c r="B104" i="7"/>
  <c r="B103" i="7"/>
  <c r="B102" i="7"/>
  <c r="C97" i="7"/>
  <c r="E96" i="7"/>
  <c r="C96" i="7"/>
  <c r="C95" i="7"/>
  <c r="E94" i="7"/>
  <c r="C94" i="7"/>
  <c r="C93" i="7"/>
  <c r="I92" i="7"/>
  <c r="C92" i="7"/>
  <c r="C91" i="7"/>
  <c r="I90" i="7"/>
  <c r="C90" i="7"/>
  <c r="C88" i="7"/>
  <c r="C87" i="7"/>
  <c r="C86" i="7"/>
  <c r="C85" i="7"/>
  <c r="E84" i="7"/>
  <c r="C84" i="7"/>
  <c r="C83" i="7"/>
  <c r="C81" i="7"/>
  <c r="C80" i="7"/>
  <c r="H79" i="7"/>
  <c r="C79" i="7"/>
  <c r="C78" i="7"/>
  <c r="F77" i="7"/>
  <c r="C77" i="7"/>
  <c r="C76" i="7"/>
  <c r="C75" i="7"/>
  <c r="C74" i="7"/>
  <c r="C70" i="7"/>
  <c r="C114" i="7" s="1"/>
  <c r="B18" i="22" s="1"/>
  <c r="C15" i="6"/>
  <c r="K14" i="6"/>
  <c r="J14" i="6"/>
  <c r="E14" i="6"/>
  <c r="K13" i="6"/>
  <c r="F13" i="6"/>
  <c r="E13" i="6"/>
  <c r="I12" i="6"/>
  <c r="F12" i="6"/>
  <c r="E12" i="6"/>
  <c r="K12" i="6" s="1"/>
  <c r="K11" i="6"/>
  <c r="I11" i="6"/>
  <c r="G11" i="6"/>
  <c r="E11" i="6"/>
  <c r="J10" i="6"/>
  <c r="E10" i="6"/>
  <c r="K10" i="6" s="1"/>
  <c r="H9" i="6"/>
  <c r="E9" i="6"/>
  <c r="K9" i="6" s="1"/>
  <c r="J8" i="6"/>
  <c r="I8" i="6"/>
  <c r="E8" i="6"/>
  <c r="K8" i="6" s="1"/>
  <c r="H7" i="6"/>
  <c r="F7" i="6"/>
  <c r="E7" i="6"/>
  <c r="K7" i="6" s="1"/>
  <c r="P49" i="5"/>
  <c r="O49" i="5"/>
  <c r="N49" i="5"/>
  <c r="M49" i="5"/>
  <c r="L49" i="5"/>
  <c r="P48" i="5"/>
  <c r="O48" i="5"/>
  <c r="N48" i="5"/>
  <c r="M48" i="5"/>
  <c r="L48" i="5"/>
  <c r="P47" i="5"/>
  <c r="O47" i="5"/>
  <c r="N47" i="5"/>
  <c r="M47" i="5"/>
  <c r="L47" i="5"/>
  <c r="P46" i="5"/>
  <c r="O46" i="5"/>
  <c r="N46" i="5"/>
  <c r="M46" i="5"/>
  <c r="L46" i="5"/>
  <c r="P45" i="5"/>
  <c r="O45" i="5"/>
  <c r="N45" i="5"/>
  <c r="M45" i="5"/>
  <c r="L45" i="5"/>
  <c r="P44" i="5"/>
  <c r="O44" i="5"/>
  <c r="N44" i="5"/>
  <c r="M44" i="5"/>
  <c r="L44" i="5"/>
  <c r="P43" i="5"/>
  <c r="O43" i="5"/>
  <c r="N43" i="5"/>
  <c r="M43" i="5"/>
  <c r="L43" i="5"/>
  <c r="P42" i="5"/>
  <c r="J12" i="6" s="1"/>
  <c r="O42" i="5"/>
  <c r="N42" i="5"/>
  <c r="H12" i="6" s="1"/>
  <c r="M42" i="5"/>
  <c r="G12" i="6" s="1"/>
  <c r="L42" i="5"/>
  <c r="P41" i="5"/>
  <c r="O41" i="5"/>
  <c r="N41" i="5"/>
  <c r="M41" i="5"/>
  <c r="L41" i="5"/>
  <c r="P40" i="5"/>
  <c r="O40" i="5"/>
  <c r="N40" i="5"/>
  <c r="M40" i="5"/>
  <c r="L40" i="5"/>
  <c r="P39" i="5"/>
  <c r="O39" i="5"/>
  <c r="N39" i="5"/>
  <c r="M39" i="5"/>
  <c r="L39" i="5"/>
  <c r="P38" i="5"/>
  <c r="O38" i="5"/>
  <c r="I14" i="6" s="1"/>
  <c r="N38" i="5"/>
  <c r="H14" i="6" s="1"/>
  <c r="M38" i="5"/>
  <c r="G14" i="6" s="1"/>
  <c r="L38" i="5"/>
  <c r="F14" i="6" s="1"/>
  <c r="P37" i="5"/>
  <c r="J13" i="6" s="1"/>
  <c r="O37" i="5"/>
  <c r="I13" i="6" s="1"/>
  <c r="N37" i="5"/>
  <c r="H13" i="6" s="1"/>
  <c r="M37" i="5"/>
  <c r="G13" i="6" s="1"/>
  <c r="L37" i="5"/>
  <c r="P36" i="5"/>
  <c r="O36" i="5"/>
  <c r="N36" i="5"/>
  <c r="M36" i="5"/>
  <c r="L36" i="5"/>
  <c r="P35" i="5"/>
  <c r="O35" i="5"/>
  <c r="N35" i="5"/>
  <c r="M35" i="5"/>
  <c r="L35" i="5"/>
  <c r="P34" i="5"/>
  <c r="O34" i="5"/>
  <c r="N34" i="5"/>
  <c r="M34" i="5"/>
  <c r="L34" i="5"/>
  <c r="P33" i="5"/>
  <c r="O33" i="5"/>
  <c r="N33" i="5"/>
  <c r="M33" i="5"/>
  <c r="L33" i="5"/>
  <c r="P32" i="5"/>
  <c r="O32" i="5"/>
  <c r="N32" i="5"/>
  <c r="M32" i="5"/>
  <c r="L32" i="5"/>
  <c r="E85" i="7" s="1"/>
  <c r="P31" i="5"/>
  <c r="O31" i="5"/>
  <c r="N31" i="5"/>
  <c r="M31" i="5"/>
  <c r="L31" i="5"/>
  <c r="P30" i="5"/>
  <c r="J11" i="6" s="1"/>
  <c r="O30" i="5"/>
  <c r="N30" i="5"/>
  <c r="H11" i="6" s="1"/>
  <c r="M30" i="5"/>
  <c r="L30" i="5"/>
  <c r="F11" i="6" s="1"/>
  <c r="P29" i="5"/>
  <c r="O29" i="5"/>
  <c r="N29" i="5"/>
  <c r="M29" i="5"/>
  <c r="L29" i="5"/>
  <c r="P28" i="5"/>
  <c r="O28" i="5"/>
  <c r="N28" i="5"/>
  <c r="M28" i="5"/>
  <c r="L28" i="5"/>
  <c r="P27" i="5"/>
  <c r="O27" i="5"/>
  <c r="N27" i="5"/>
  <c r="M27" i="5"/>
  <c r="L27" i="5"/>
  <c r="P26" i="5"/>
  <c r="O26" i="5"/>
  <c r="I10" i="6" s="1"/>
  <c r="N26" i="5"/>
  <c r="H10" i="6" s="1"/>
  <c r="M26" i="5"/>
  <c r="G10" i="6" s="1"/>
  <c r="L26" i="5"/>
  <c r="F10" i="6" s="1"/>
  <c r="P25" i="5"/>
  <c r="O25" i="5"/>
  <c r="N25" i="5"/>
  <c r="M25" i="5"/>
  <c r="L25" i="5"/>
  <c r="P24" i="5"/>
  <c r="O24" i="5"/>
  <c r="N24" i="5"/>
  <c r="M24" i="5"/>
  <c r="L24" i="5"/>
  <c r="P23" i="5"/>
  <c r="J9" i="6" s="1"/>
  <c r="O23" i="5"/>
  <c r="I9" i="6" s="1"/>
  <c r="N23" i="5"/>
  <c r="M23" i="5"/>
  <c r="G9" i="6" s="1"/>
  <c r="L23" i="5"/>
  <c r="F9" i="6" s="1"/>
  <c r="P22" i="5"/>
  <c r="O22" i="5"/>
  <c r="N22" i="5"/>
  <c r="H8" i="6" s="1"/>
  <c r="M22" i="5"/>
  <c r="G8" i="6" s="1"/>
  <c r="L22" i="5"/>
  <c r="F8" i="6" s="1"/>
  <c r="P21" i="5"/>
  <c r="O21" i="5"/>
  <c r="N21" i="5"/>
  <c r="M21" i="5"/>
  <c r="L21" i="5"/>
  <c r="P20" i="5"/>
  <c r="O20" i="5"/>
  <c r="N20" i="5"/>
  <c r="M20" i="5"/>
  <c r="L20" i="5"/>
  <c r="P19" i="5"/>
  <c r="O19" i="5"/>
  <c r="N19" i="5"/>
  <c r="M19" i="5"/>
  <c r="L19" i="5"/>
  <c r="P18" i="5"/>
  <c r="O18" i="5"/>
  <c r="N18" i="5"/>
  <c r="M18" i="5"/>
  <c r="L18" i="5"/>
  <c r="P17" i="5"/>
  <c r="O17" i="5"/>
  <c r="N17" i="5"/>
  <c r="M17" i="5"/>
  <c r="L17" i="5"/>
  <c r="P16" i="5"/>
  <c r="O16" i="5"/>
  <c r="N16" i="5"/>
  <c r="M16" i="5"/>
  <c r="L16" i="5"/>
  <c r="P15" i="5"/>
  <c r="O15" i="5"/>
  <c r="N15" i="5"/>
  <c r="M15" i="5"/>
  <c r="L15" i="5"/>
  <c r="P14" i="5"/>
  <c r="O14" i="5"/>
  <c r="N14" i="5"/>
  <c r="M14" i="5"/>
  <c r="L14" i="5"/>
  <c r="P13" i="5"/>
  <c r="O13" i="5"/>
  <c r="N13" i="5"/>
  <c r="M13" i="5"/>
  <c r="L13" i="5"/>
  <c r="P12" i="5"/>
  <c r="O12" i="5"/>
  <c r="N12" i="5"/>
  <c r="M12" i="5"/>
  <c r="L12" i="5"/>
  <c r="P11" i="5"/>
  <c r="O11" i="5"/>
  <c r="N11" i="5"/>
  <c r="M11" i="5"/>
  <c r="L11" i="5"/>
  <c r="P10" i="5"/>
  <c r="O10" i="5"/>
  <c r="N10" i="5"/>
  <c r="M10" i="5"/>
  <c r="L10" i="5"/>
  <c r="P9" i="5"/>
  <c r="J7" i="6" s="1"/>
  <c r="O9" i="5"/>
  <c r="I7" i="6" s="1"/>
  <c r="N9" i="5"/>
  <c r="M9" i="5"/>
  <c r="G7" i="6" s="1"/>
  <c r="L9" i="5"/>
  <c r="P8" i="5"/>
  <c r="O8" i="5"/>
  <c r="N8" i="5"/>
  <c r="M8" i="5"/>
  <c r="L8" i="5"/>
  <c r="P7" i="5"/>
  <c r="O7" i="5"/>
  <c r="N7" i="5"/>
  <c r="M7" i="5"/>
  <c r="L7" i="5"/>
  <c r="P6" i="5"/>
  <c r="O6" i="5"/>
  <c r="N6" i="5"/>
  <c r="M6" i="5"/>
  <c r="L6" i="5"/>
  <c r="P5" i="5"/>
  <c r="O5" i="5"/>
  <c r="F111" i="7" s="1"/>
  <c r="E15" i="22" s="1"/>
  <c r="N5" i="5"/>
  <c r="M5" i="5"/>
  <c r="L5" i="5"/>
  <c r="P4" i="5"/>
  <c r="O4" i="5"/>
  <c r="N4" i="5"/>
  <c r="M4" i="5"/>
  <c r="L4" i="5"/>
  <c r="P3" i="5"/>
  <c r="O3" i="5"/>
  <c r="N3" i="5"/>
  <c r="M3" i="5"/>
  <c r="L3" i="5"/>
  <c r="P2" i="5"/>
  <c r="O2" i="5"/>
  <c r="N2" i="5"/>
  <c r="M2" i="5"/>
  <c r="D2" i="8" s="1"/>
  <c r="L2" i="5"/>
  <c r="M34" i="4"/>
  <c r="L34" i="4"/>
  <c r="G34" i="4"/>
  <c r="F34" i="4"/>
  <c r="E34" i="4"/>
  <c r="D34" i="4"/>
  <c r="C34" i="4"/>
  <c r="B34" i="4"/>
  <c r="A34" i="4"/>
  <c r="M33" i="4"/>
  <c r="I33" i="4"/>
  <c r="G33" i="4"/>
  <c r="F33" i="4"/>
  <c r="E33" i="4"/>
  <c r="H33" i="4" s="1"/>
  <c r="D33" i="4"/>
  <c r="C33" i="4"/>
  <c r="B33" i="4"/>
  <c r="A33" i="4"/>
  <c r="M32" i="4"/>
  <c r="I32" i="4"/>
  <c r="G32" i="4"/>
  <c r="K32" i="4" s="1"/>
  <c r="F32" i="4"/>
  <c r="E32" i="4"/>
  <c r="D32" i="4"/>
  <c r="C32" i="4"/>
  <c r="B32" i="4"/>
  <c r="A32" i="4"/>
  <c r="M31" i="4"/>
  <c r="K31" i="4"/>
  <c r="G31" i="4"/>
  <c r="F31" i="4"/>
  <c r="J31" i="4" s="1"/>
  <c r="E31" i="4"/>
  <c r="D31" i="4"/>
  <c r="C31" i="4"/>
  <c r="B31" i="4"/>
  <c r="A31" i="4"/>
  <c r="M30" i="4"/>
  <c r="K30" i="4"/>
  <c r="H30" i="4"/>
  <c r="G30" i="4"/>
  <c r="L30" i="4" s="1"/>
  <c r="F30" i="4"/>
  <c r="E30" i="4"/>
  <c r="D30" i="4"/>
  <c r="C30" i="4"/>
  <c r="B30" i="4"/>
  <c r="A30" i="4"/>
  <c r="M29" i="4"/>
  <c r="L29" i="4"/>
  <c r="H29" i="4"/>
  <c r="G29" i="4"/>
  <c r="K29" i="4" s="1"/>
  <c r="F29" i="4"/>
  <c r="E29" i="4"/>
  <c r="I29" i="4" s="1"/>
  <c r="D29" i="4"/>
  <c r="C29" i="4"/>
  <c r="B29" i="4"/>
  <c r="A29" i="4"/>
  <c r="M28" i="4"/>
  <c r="G28" i="4"/>
  <c r="F28" i="4"/>
  <c r="E28" i="4"/>
  <c r="D28" i="4"/>
  <c r="C28" i="4"/>
  <c r="B28" i="4"/>
  <c r="A28" i="4"/>
  <c r="M27" i="4"/>
  <c r="G27" i="4"/>
  <c r="K27" i="4" s="1"/>
  <c r="F27" i="4"/>
  <c r="E27" i="4"/>
  <c r="D27" i="4"/>
  <c r="C27" i="4"/>
  <c r="B27" i="4"/>
  <c r="A27" i="4"/>
  <c r="M26" i="4"/>
  <c r="L26" i="4"/>
  <c r="G26" i="4"/>
  <c r="F26" i="4"/>
  <c r="E26" i="4"/>
  <c r="D26" i="4"/>
  <c r="C26" i="4"/>
  <c r="B26" i="4"/>
  <c r="A26" i="4"/>
  <c r="M25" i="4"/>
  <c r="I25" i="4"/>
  <c r="G25" i="4"/>
  <c r="F25" i="4"/>
  <c r="E25" i="4"/>
  <c r="H25" i="4" s="1"/>
  <c r="D25" i="4"/>
  <c r="C25" i="4"/>
  <c r="B25" i="4"/>
  <c r="A25" i="4"/>
  <c r="M24" i="4"/>
  <c r="I24" i="4"/>
  <c r="G24" i="4"/>
  <c r="K24" i="4" s="1"/>
  <c r="F24" i="4"/>
  <c r="E24" i="4"/>
  <c r="D24" i="4"/>
  <c r="C24" i="4"/>
  <c r="B24" i="4"/>
  <c r="A24" i="4"/>
  <c r="M23" i="4"/>
  <c r="K23" i="4"/>
  <c r="G23" i="4"/>
  <c r="F23" i="4"/>
  <c r="J23" i="4" s="1"/>
  <c r="E23" i="4"/>
  <c r="D23" i="4"/>
  <c r="C23" i="4"/>
  <c r="B23" i="4"/>
  <c r="A23" i="4"/>
  <c r="M22" i="4"/>
  <c r="K22" i="4"/>
  <c r="H22" i="4"/>
  <c r="G22" i="4"/>
  <c r="L22" i="4" s="1"/>
  <c r="F22" i="4"/>
  <c r="E22" i="4"/>
  <c r="D22" i="4"/>
  <c r="C22" i="4"/>
  <c r="B22" i="4"/>
  <c r="A22" i="4"/>
  <c r="M21" i="4"/>
  <c r="L21" i="4"/>
  <c r="H21" i="4"/>
  <c r="G21" i="4"/>
  <c r="K21" i="4" s="1"/>
  <c r="F21" i="4"/>
  <c r="E21" i="4"/>
  <c r="I21" i="4" s="1"/>
  <c r="D21" i="4"/>
  <c r="C21" i="4"/>
  <c r="B21" i="4"/>
  <c r="A21" i="4"/>
  <c r="M20" i="4"/>
  <c r="J20" i="4"/>
  <c r="G20" i="4"/>
  <c r="F20" i="4"/>
  <c r="E20" i="4"/>
  <c r="D20" i="4"/>
  <c r="C20" i="4"/>
  <c r="B20" i="4"/>
  <c r="A20" i="4"/>
  <c r="M19" i="4"/>
  <c r="G19" i="4"/>
  <c r="F19" i="4"/>
  <c r="E19" i="4"/>
  <c r="D19" i="4"/>
  <c r="C19" i="4"/>
  <c r="B19" i="4"/>
  <c r="A19" i="4"/>
  <c r="M18" i="4"/>
  <c r="L18" i="4"/>
  <c r="G18" i="4"/>
  <c r="H18" i="4" s="1"/>
  <c r="F18" i="4"/>
  <c r="E18" i="4"/>
  <c r="D18" i="4"/>
  <c r="C18" i="4"/>
  <c r="B18" i="4"/>
  <c r="A18" i="4"/>
  <c r="M17" i="4"/>
  <c r="I17" i="4"/>
  <c r="G17" i="4"/>
  <c r="F17" i="4"/>
  <c r="E17" i="4"/>
  <c r="H17" i="4" s="1"/>
  <c r="D17" i="4"/>
  <c r="C17" i="4"/>
  <c r="B17" i="4"/>
  <c r="A17" i="4"/>
  <c r="M16" i="4"/>
  <c r="I16" i="4"/>
  <c r="G16" i="4"/>
  <c r="K16" i="4" s="1"/>
  <c r="F16" i="4"/>
  <c r="E16" i="4"/>
  <c r="D16" i="4"/>
  <c r="C16" i="4"/>
  <c r="B16" i="4"/>
  <c r="A16" i="4"/>
  <c r="M15" i="4"/>
  <c r="K15" i="4"/>
  <c r="G15" i="4"/>
  <c r="F15" i="4"/>
  <c r="J15" i="4" s="1"/>
  <c r="E15" i="4"/>
  <c r="D15" i="4"/>
  <c r="C15" i="4"/>
  <c r="B15" i="4"/>
  <c r="A15" i="4"/>
  <c r="G14" i="4"/>
  <c r="K14" i="4" s="1"/>
  <c r="F14" i="4"/>
  <c r="E14" i="4"/>
  <c r="D14" i="4"/>
  <c r="C14" i="4"/>
  <c r="B14" i="4"/>
  <c r="A14" i="4"/>
  <c r="M13" i="4"/>
  <c r="L13" i="4"/>
  <c r="G13" i="4"/>
  <c r="K13" i="4" s="1"/>
  <c r="F13" i="4"/>
  <c r="E13" i="4"/>
  <c r="I13" i="4" s="1"/>
  <c r="D13" i="4"/>
  <c r="C13" i="4"/>
  <c r="B13" i="4"/>
  <c r="A13" i="4"/>
  <c r="M12" i="4"/>
  <c r="J12" i="4"/>
  <c r="I12" i="4"/>
  <c r="G12" i="4"/>
  <c r="F12" i="4"/>
  <c r="E12" i="4"/>
  <c r="H12" i="4" s="1"/>
  <c r="D12" i="4"/>
  <c r="C12" i="4"/>
  <c r="B12" i="4"/>
  <c r="A12" i="4"/>
  <c r="M11" i="4"/>
  <c r="G11" i="4"/>
  <c r="F11" i="4"/>
  <c r="E11" i="4"/>
  <c r="D11" i="4"/>
  <c r="C11" i="4"/>
  <c r="B11" i="4"/>
  <c r="A11" i="4"/>
  <c r="K10" i="4"/>
  <c r="H10" i="4"/>
  <c r="G10" i="4"/>
  <c r="L10" i="4" s="1"/>
  <c r="F10" i="4"/>
  <c r="E10" i="4"/>
  <c r="D10" i="4"/>
  <c r="C10" i="4"/>
  <c r="B10" i="4"/>
  <c r="A10" i="4"/>
  <c r="M9" i="4"/>
  <c r="L9" i="4"/>
  <c r="H9" i="4"/>
  <c r="G9" i="4"/>
  <c r="K9" i="4" s="1"/>
  <c r="F9" i="4"/>
  <c r="E9" i="4"/>
  <c r="I9" i="4" s="1"/>
  <c r="D9" i="4"/>
  <c r="C9" i="4"/>
  <c r="B9" i="4"/>
  <c r="A9" i="4"/>
  <c r="M8" i="4"/>
  <c r="J8" i="4"/>
  <c r="G8" i="4"/>
  <c r="F8" i="4"/>
  <c r="E8" i="4"/>
  <c r="I8" i="4" s="1"/>
  <c r="D8" i="4"/>
  <c r="C8" i="4"/>
  <c r="B8" i="4"/>
  <c r="A8" i="4"/>
  <c r="M7" i="4"/>
  <c r="G7" i="4"/>
  <c r="F7" i="4"/>
  <c r="E7" i="4"/>
  <c r="D7" i="4"/>
  <c r="C7" i="4"/>
  <c r="B7" i="4"/>
  <c r="A7" i="4"/>
  <c r="M6" i="4"/>
  <c r="L6" i="4"/>
  <c r="G6" i="4"/>
  <c r="H6" i="4" s="1"/>
  <c r="F6" i="4"/>
  <c r="E6" i="4"/>
  <c r="D6" i="4"/>
  <c r="C6" i="4"/>
  <c r="B6" i="4"/>
  <c r="A6" i="4"/>
  <c r="M5" i="4"/>
  <c r="G5" i="4"/>
  <c r="F5" i="4"/>
  <c r="E5" i="4"/>
  <c r="H5" i="4" s="1"/>
  <c r="D5" i="4"/>
  <c r="C5" i="4"/>
  <c r="B5" i="4"/>
  <c r="A5" i="4"/>
  <c r="M4" i="4"/>
  <c r="I4" i="4"/>
  <c r="G4" i="4"/>
  <c r="L4" i="4" s="1"/>
  <c r="F4" i="4"/>
  <c r="E4" i="4"/>
  <c r="J4" i="4" s="1"/>
  <c r="D4" i="4"/>
  <c r="C4" i="4"/>
  <c r="B4" i="4"/>
  <c r="A4" i="4"/>
  <c r="M3" i="4"/>
  <c r="K3" i="4"/>
  <c r="G3" i="4"/>
  <c r="F3" i="4"/>
  <c r="E3" i="4"/>
  <c r="D3" i="4"/>
  <c r="C3" i="4"/>
  <c r="B3" i="4"/>
  <c r="A3" i="4"/>
  <c r="M2" i="4"/>
  <c r="L2" i="4"/>
  <c r="K2" i="4"/>
  <c r="H2" i="4"/>
  <c r="G2" i="4"/>
  <c r="F2" i="4"/>
  <c r="E2" i="4"/>
  <c r="D2" i="4"/>
  <c r="C2" i="4"/>
  <c r="B2" i="4"/>
  <c r="A2" i="4"/>
  <c r="N14" i="3"/>
  <c r="M14" i="4" s="1"/>
  <c r="N13" i="3"/>
  <c r="L10" i="6" l="1"/>
  <c r="E21" i="6"/>
  <c r="L7" i="6"/>
  <c r="E20" i="6"/>
  <c r="L9" i="6"/>
  <c r="I7" i="4"/>
  <c r="L7" i="4"/>
  <c r="H7" i="4"/>
  <c r="I19" i="4"/>
  <c r="L19" i="4"/>
  <c r="H19" i="4"/>
  <c r="E6" i="8"/>
  <c r="E4" i="8"/>
  <c r="E2" i="8"/>
  <c r="E8" i="8"/>
  <c r="E7" i="8"/>
  <c r="E5" i="8"/>
  <c r="L14" i="6"/>
  <c r="L28" i="4"/>
  <c r="H28" i="4"/>
  <c r="J28" i="4"/>
  <c r="G74" i="7"/>
  <c r="F4" i="8"/>
  <c r="J7" i="4"/>
  <c r="I11" i="4"/>
  <c r="L11" i="4"/>
  <c r="H11" i="4"/>
  <c r="L25" i="4"/>
  <c r="J26" i="4"/>
  <c r="I26" i="4"/>
  <c r="L33" i="4"/>
  <c r="J34" i="4"/>
  <c r="I34" i="4"/>
  <c r="I3" i="4"/>
  <c r="L3" i="4"/>
  <c r="H3" i="4"/>
  <c r="K5" i="4"/>
  <c r="K7" i="4"/>
  <c r="L8" i="4"/>
  <c r="J11" i="4"/>
  <c r="H13" i="4"/>
  <c r="I15" i="4"/>
  <c r="L15" i="4"/>
  <c r="H15" i="4"/>
  <c r="L16" i="4"/>
  <c r="H16" i="4"/>
  <c r="J16" i="4"/>
  <c r="K17" i="4"/>
  <c r="K19" i="4"/>
  <c r="K20" i="4"/>
  <c r="I23" i="4"/>
  <c r="L23" i="4"/>
  <c r="H23" i="4"/>
  <c r="L24" i="4"/>
  <c r="H24" i="4"/>
  <c r="J24" i="4"/>
  <c r="K25" i="4"/>
  <c r="H26" i="4"/>
  <c r="K28" i="4"/>
  <c r="I31" i="4"/>
  <c r="L31" i="4"/>
  <c r="H31" i="4"/>
  <c r="L32" i="4"/>
  <c r="H32" i="4"/>
  <c r="J32" i="4"/>
  <c r="K33" i="4"/>
  <c r="H34" i="4"/>
  <c r="C4" i="8"/>
  <c r="G2" i="8"/>
  <c r="E19" i="6"/>
  <c r="L8" i="6"/>
  <c r="K15" i="6"/>
  <c r="E75" i="7"/>
  <c r="I76" i="7"/>
  <c r="D80" i="7"/>
  <c r="J80" i="7" s="1"/>
  <c r="G83" i="7"/>
  <c r="H87" i="7"/>
  <c r="E91" i="7"/>
  <c r="G93" i="7"/>
  <c r="I95" i="7"/>
  <c r="I5" i="4"/>
  <c r="J14" i="4"/>
  <c r="I14" i="4"/>
  <c r="L20" i="4"/>
  <c r="H20" i="4"/>
  <c r="I27" i="4"/>
  <c r="L27" i="4"/>
  <c r="H27" i="4"/>
  <c r="L12" i="6"/>
  <c r="L5" i="4"/>
  <c r="J6" i="4"/>
  <c r="I6" i="4"/>
  <c r="H14" i="4"/>
  <c r="L17" i="4"/>
  <c r="J18" i="4"/>
  <c r="I18" i="4"/>
  <c r="J19" i="4"/>
  <c r="J27" i="4"/>
  <c r="L13" i="6"/>
  <c r="E114" i="7"/>
  <c r="D18" i="22" s="1"/>
  <c r="G113" i="7"/>
  <c r="F17" i="22" s="1"/>
  <c r="C113" i="7"/>
  <c r="B17" i="22" s="1"/>
  <c r="E112" i="7"/>
  <c r="D16" i="22" s="1"/>
  <c r="G111" i="7"/>
  <c r="F15" i="22" s="1"/>
  <c r="C111" i="7"/>
  <c r="B15" i="22" s="1"/>
  <c r="E110" i="7"/>
  <c r="I97" i="7"/>
  <c r="E97" i="7"/>
  <c r="F96" i="7"/>
  <c r="G95" i="7"/>
  <c r="H94" i="7"/>
  <c r="D94" i="7"/>
  <c r="J94" i="7" s="1"/>
  <c r="I93" i="7"/>
  <c r="E93" i="7"/>
  <c r="F92" i="7"/>
  <c r="G91" i="7"/>
  <c r="H90" i="7"/>
  <c r="D90" i="7"/>
  <c r="J90" i="7" s="1"/>
  <c r="H88" i="7"/>
  <c r="D88" i="7"/>
  <c r="J88" i="7" s="1"/>
  <c r="I87" i="7"/>
  <c r="E87" i="7"/>
  <c r="F86" i="7"/>
  <c r="G85" i="7"/>
  <c r="H84" i="7"/>
  <c r="D84" i="7"/>
  <c r="J84" i="7" s="1"/>
  <c r="I83" i="7"/>
  <c r="E83" i="7"/>
  <c r="I81" i="7"/>
  <c r="E81" i="7"/>
  <c r="F80" i="7"/>
  <c r="G79" i="7"/>
  <c r="H78" i="7"/>
  <c r="D78" i="7"/>
  <c r="J78" i="7" s="1"/>
  <c r="I77" i="7"/>
  <c r="E77" i="7"/>
  <c r="F76" i="7"/>
  <c r="G75" i="7"/>
  <c r="H74" i="7"/>
  <c r="D74" i="7"/>
  <c r="J74" i="7" s="1"/>
  <c r="F114" i="7"/>
  <c r="E18" i="22" s="1"/>
  <c r="F113" i="7"/>
  <c r="E17" i="22" s="1"/>
  <c r="G112" i="7"/>
  <c r="F16" i="22" s="1"/>
  <c r="H111" i="7"/>
  <c r="H110" i="7"/>
  <c r="C110" i="7"/>
  <c r="D97" i="7"/>
  <c r="J97" i="7" s="1"/>
  <c r="H96" i="7"/>
  <c r="F95" i="7"/>
  <c r="F94" i="7"/>
  <c r="D93" i="7"/>
  <c r="J93" i="7" s="1"/>
  <c r="H92" i="7"/>
  <c r="F91" i="7"/>
  <c r="F90" i="7"/>
  <c r="G88" i="7"/>
  <c r="F87" i="7"/>
  <c r="I86" i="7"/>
  <c r="D86" i="7"/>
  <c r="J86" i="7" s="1"/>
  <c r="K86" i="7" s="1"/>
  <c r="H85" i="7"/>
  <c r="G84" i="7"/>
  <c r="F83" i="7"/>
  <c r="G81" i="7"/>
  <c r="E80" i="7"/>
  <c r="I79" i="7"/>
  <c r="D79" i="7"/>
  <c r="J79" i="7" s="1"/>
  <c r="I78" i="7"/>
  <c r="G77" i="7"/>
  <c r="E76" i="7"/>
  <c r="I75" i="7"/>
  <c r="D75" i="7"/>
  <c r="J75" i="7" s="1"/>
  <c r="K75" i="7" s="1"/>
  <c r="I74" i="7"/>
  <c r="H114" i="7"/>
  <c r="H113" i="7"/>
  <c r="F112" i="7"/>
  <c r="E16" i="22" s="1"/>
  <c r="E111" i="7"/>
  <c r="D15" i="22" s="1"/>
  <c r="D110" i="7"/>
  <c r="H97" i="7"/>
  <c r="D96" i="7"/>
  <c r="J96" i="7" s="1"/>
  <c r="H95" i="7"/>
  <c r="F93" i="7"/>
  <c r="G92" i="7"/>
  <c r="D91" i="7"/>
  <c r="J91" i="7" s="1"/>
  <c r="G90" i="7"/>
  <c r="E88" i="7"/>
  <c r="G87" i="7"/>
  <c r="H86" i="7"/>
  <c r="D85" i="7"/>
  <c r="J85" i="7" s="1"/>
  <c r="I84" i="7"/>
  <c r="H81" i="7"/>
  <c r="I80" i="7"/>
  <c r="E79" i="7"/>
  <c r="G78" i="7"/>
  <c r="D77" i="7"/>
  <c r="J77" i="7" s="1"/>
  <c r="G76" i="7"/>
  <c r="H75" i="7"/>
  <c r="E74" i="7"/>
  <c r="D114" i="7"/>
  <c r="C18" i="22" s="1"/>
  <c r="D113" i="7"/>
  <c r="C17" i="22" s="1"/>
  <c r="C112" i="7"/>
  <c r="B16" i="22" s="1"/>
  <c r="G110" i="7"/>
  <c r="F97" i="7"/>
  <c r="G96" i="7"/>
  <c r="D95" i="7"/>
  <c r="J95" i="7" s="1"/>
  <c r="G94" i="7"/>
  <c r="H93" i="7"/>
  <c r="D92" i="7"/>
  <c r="J92" i="7" s="1"/>
  <c r="K92" i="7" s="1"/>
  <c r="H91" i="7"/>
  <c r="I88" i="7"/>
  <c r="G114" i="7"/>
  <c r="F18" i="22" s="1"/>
  <c r="E113" i="7"/>
  <c r="D17" i="22" s="1"/>
  <c r="D112" i="7"/>
  <c r="C16" i="22" s="1"/>
  <c r="D111" i="7"/>
  <c r="C15" i="22" s="1"/>
  <c r="G97" i="7"/>
  <c r="I96" i="7"/>
  <c r="E95" i="7"/>
  <c r="I94" i="7"/>
  <c r="E92" i="7"/>
  <c r="I91" i="7"/>
  <c r="E90" i="7"/>
  <c r="D87" i="7"/>
  <c r="J87" i="7" s="1"/>
  <c r="G86" i="7"/>
  <c r="I85" i="7"/>
  <c r="F84" i="7"/>
  <c r="H83" i="7"/>
  <c r="F81" i="7"/>
  <c r="H80" i="7"/>
  <c r="F78" i="7"/>
  <c r="D76" i="7"/>
  <c r="J76" i="7" s="1"/>
  <c r="F75" i="7"/>
  <c r="H76" i="7"/>
  <c r="H77" i="7"/>
  <c r="D81" i="7"/>
  <c r="J81" i="7" s="1"/>
  <c r="D83" i="7"/>
  <c r="J83" i="7" s="1"/>
  <c r="F85" i="7"/>
  <c r="F88" i="7"/>
  <c r="H112" i="7"/>
  <c r="N10" i="3"/>
  <c r="M10" i="4" s="1"/>
  <c r="J2" i="4"/>
  <c r="I2" i="4"/>
  <c r="J3" i="4"/>
  <c r="K6" i="4"/>
  <c r="J10" i="4"/>
  <c r="I10" i="4"/>
  <c r="K11" i="4"/>
  <c r="L12" i="4"/>
  <c r="L14" i="4"/>
  <c r="K18" i="4"/>
  <c r="I20" i="4"/>
  <c r="J22" i="4"/>
  <c r="I22" i="4"/>
  <c r="K26" i="4"/>
  <c r="I28" i="4"/>
  <c r="J30" i="4"/>
  <c r="I30" i="4"/>
  <c r="K34" i="4"/>
  <c r="D4" i="8"/>
  <c r="D3" i="8"/>
  <c r="K3" i="8" s="1"/>
  <c r="D7" i="8"/>
  <c r="D6" i="8"/>
  <c r="D5" i="8"/>
  <c r="C6" i="8"/>
  <c r="G8" i="8"/>
  <c r="F3" i="8"/>
  <c r="F2" i="8"/>
  <c r="E23" i="6"/>
  <c r="F74" i="7"/>
  <c r="E78" i="7"/>
  <c r="F79" i="7"/>
  <c r="G80" i="7"/>
  <c r="E86" i="7"/>
  <c r="F110" i="7"/>
  <c r="E3" i="8"/>
  <c r="D8" i="8"/>
  <c r="K4" i="4"/>
  <c r="J5" i="4"/>
  <c r="K8" i="4"/>
  <c r="J9" i="4"/>
  <c r="K12" i="4"/>
  <c r="J13" i="4"/>
  <c r="J17" i="4"/>
  <c r="J21" i="4"/>
  <c r="J25" i="4"/>
  <c r="J29" i="4"/>
  <c r="J33" i="4"/>
  <c r="F8" i="8"/>
  <c r="F6" i="8"/>
  <c r="F5" i="8"/>
  <c r="L11" i="6"/>
  <c r="F7" i="8"/>
  <c r="R14" i="15"/>
  <c r="R10" i="15"/>
  <c r="R6" i="15"/>
  <c r="R29" i="15"/>
  <c r="R24" i="15"/>
  <c r="R21" i="15"/>
  <c r="R16" i="15"/>
  <c r="R9" i="15"/>
  <c r="R7" i="15"/>
  <c r="R17" i="15"/>
  <c r="R28" i="15"/>
  <c r="H4" i="4"/>
  <c r="H8" i="4"/>
  <c r="C7" i="8"/>
  <c r="C5" i="8"/>
  <c r="C3" i="8"/>
  <c r="C2" i="8"/>
  <c r="G7" i="8"/>
  <c r="G5" i="8"/>
  <c r="G3" i="8"/>
  <c r="G4" i="8"/>
  <c r="E22" i="6"/>
  <c r="E15" i="6"/>
  <c r="G6" i="8"/>
  <c r="C8" i="8"/>
  <c r="R11" i="15"/>
  <c r="R13" i="15"/>
  <c r="R18" i="15"/>
  <c r="R22" i="15"/>
  <c r="R25" i="15"/>
  <c r="E35" i="24"/>
  <c r="H47" i="23"/>
  <c r="K8" i="24"/>
  <c r="E32" i="24"/>
  <c r="H35" i="23"/>
  <c r="E33" i="24"/>
  <c r="H39" i="23"/>
  <c r="K9" i="24"/>
  <c r="F35" i="24"/>
  <c r="F34" i="24"/>
  <c r="H44" i="23"/>
  <c r="F33" i="24"/>
  <c r="H40" i="23"/>
  <c r="S29" i="15"/>
  <c r="S27" i="15"/>
  <c r="S25" i="15"/>
  <c r="S23" i="15"/>
  <c r="S21" i="15"/>
  <c r="S19" i="15"/>
  <c r="S17" i="15"/>
  <c r="S15" i="15"/>
  <c r="S11" i="15"/>
  <c r="S7" i="15"/>
  <c r="S12" i="15"/>
  <c r="S18" i="15"/>
  <c r="S26" i="15"/>
  <c r="B10" i="21"/>
  <c r="C31" i="24"/>
  <c r="C34" i="24"/>
  <c r="H41" i="23"/>
  <c r="C33" i="24"/>
  <c r="H37" i="23"/>
  <c r="D35" i="24"/>
  <c r="H46" i="23"/>
  <c r="K7" i="24"/>
  <c r="D32" i="24"/>
  <c r="D33" i="24"/>
  <c r="H38" i="23"/>
  <c r="D29" i="23"/>
  <c r="F30" i="23"/>
  <c r="D31" i="23"/>
  <c r="F32" i="23"/>
  <c r="D33" i="23"/>
  <c r="F34" i="23"/>
  <c r="D35" i="23"/>
  <c r="F36" i="23"/>
  <c r="G42" i="23"/>
  <c r="F43" i="23"/>
  <c r="E44" i="23"/>
  <c r="E45" i="23"/>
  <c r="D46" i="23"/>
  <c r="C47" i="23"/>
  <c r="C48" i="23"/>
  <c r="H48" i="23" s="1"/>
  <c r="S8" i="24"/>
  <c r="T10" i="24"/>
  <c r="J6" i="24" s="1"/>
  <c r="S10" i="24"/>
  <c r="T17" i="24"/>
  <c r="S17" i="24"/>
  <c r="C30" i="23"/>
  <c r="G30" i="23"/>
  <c r="E31" i="23"/>
  <c r="G32" i="23"/>
  <c r="E33" i="23"/>
  <c r="C34" i="23"/>
  <c r="H34" i="23" s="1"/>
  <c r="E35" i="23"/>
  <c r="C36" i="23"/>
  <c r="G36" i="23"/>
  <c r="G43" i="23"/>
  <c r="F45" i="23"/>
  <c r="E46" i="23"/>
  <c r="D48" i="23"/>
  <c r="C9" i="24"/>
  <c r="J9" i="24" s="1"/>
  <c r="C7" i="24"/>
  <c r="S7" i="24"/>
  <c r="B26" i="24" s="1"/>
  <c r="B27" i="24" s="1"/>
  <c r="T26" i="24"/>
  <c r="S26" i="24"/>
  <c r="T29" i="24"/>
  <c r="S29" i="24"/>
  <c r="H14" i="21"/>
  <c r="I14" i="21" s="1"/>
  <c r="F31" i="23"/>
  <c r="F33" i="23"/>
  <c r="D34" i="23"/>
  <c r="D36" i="23"/>
  <c r="C43" i="23"/>
  <c r="G45" i="23"/>
  <c r="E48" i="23"/>
  <c r="S6" i="24"/>
  <c r="C8" i="24"/>
  <c r="T11" i="24"/>
  <c r="S11" i="24"/>
  <c r="T18" i="24"/>
  <c r="S18" i="24"/>
  <c r="T24" i="24"/>
  <c r="S24" i="24"/>
  <c r="C29" i="23"/>
  <c r="H29" i="23" s="1"/>
  <c r="G31" i="23"/>
  <c r="C33" i="23"/>
  <c r="G33" i="23"/>
  <c r="E34" i="23"/>
  <c r="T20" i="24"/>
  <c r="S20" i="24"/>
  <c r="T22" i="24"/>
  <c r="S22" i="24"/>
  <c r="T30" i="24"/>
  <c r="S30" i="24"/>
  <c r="T85" i="24"/>
  <c r="S85" i="24"/>
  <c r="T101" i="24"/>
  <c r="S101" i="24"/>
  <c r="S36" i="24"/>
  <c r="S40" i="24"/>
  <c r="S44" i="24"/>
  <c r="S48" i="24"/>
  <c r="F7" i="24" s="1"/>
  <c r="S75" i="24"/>
  <c r="T81" i="24"/>
  <c r="S81" i="24"/>
  <c r="T97" i="24"/>
  <c r="S97" i="24"/>
  <c r="S32" i="24"/>
  <c r="S34" i="24"/>
  <c r="S37" i="24"/>
  <c r="S41" i="24"/>
  <c r="S45" i="24"/>
  <c r="S49" i="24"/>
  <c r="S54" i="24"/>
  <c r="S62" i="24"/>
  <c r="S70" i="24"/>
  <c r="T77" i="24"/>
  <c r="S77" i="24"/>
  <c r="T93" i="24"/>
  <c r="S93" i="24"/>
  <c r="F44" i="25"/>
  <c r="H44" i="25" s="1"/>
  <c r="I44" i="25" s="1"/>
  <c r="S52" i="24"/>
  <c r="S55" i="24"/>
  <c r="T56" i="24"/>
  <c r="T59" i="24"/>
  <c r="S60" i="24"/>
  <c r="S63" i="24"/>
  <c r="T64" i="24"/>
  <c r="T67" i="24"/>
  <c r="S68" i="24"/>
  <c r="S71" i="24"/>
  <c r="T72" i="24"/>
  <c r="T76" i="24"/>
  <c r="T89" i="24"/>
  <c r="S89" i="24"/>
  <c r="T92" i="24"/>
  <c r="T105" i="24"/>
  <c r="S105" i="24"/>
  <c r="T108" i="24"/>
  <c r="S76" i="24"/>
  <c r="S80" i="24"/>
  <c r="S84" i="24"/>
  <c r="S88" i="24"/>
  <c r="S92" i="24"/>
  <c r="S96" i="24"/>
  <c r="F8" i="24" s="1"/>
  <c r="S100" i="24"/>
  <c r="S104" i="24"/>
  <c r="S108" i="24"/>
  <c r="S112" i="24"/>
  <c r="S116" i="24"/>
  <c r="S120" i="24"/>
  <c r="S124" i="24"/>
  <c r="S128" i="24"/>
  <c r="S132" i="24"/>
  <c r="S136" i="24"/>
  <c r="F9" i="24" s="1"/>
  <c r="S140" i="24"/>
  <c r="S144" i="24"/>
  <c r="S148" i="24"/>
  <c r="S152" i="24"/>
  <c r="S156" i="24"/>
  <c r="S160" i="24"/>
  <c r="S164" i="24"/>
  <c r="S168" i="24"/>
  <c r="S172" i="24"/>
  <c r="S176" i="24"/>
  <c r="S180" i="24"/>
  <c r="S184" i="24"/>
  <c r="S188" i="24"/>
  <c r="S192" i="24"/>
  <c r="S196" i="24"/>
  <c r="S200" i="24"/>
  <c r="S109" i="24"/>
  <c r="S113" i="24"/>
  <c r="S117" i="24"/>
  <c r="S121" i="24"/>
  <c r="S125" i="24"/>
  <c r="S129" i="24"/>
  <c r="S133" i="24"/>
  <c r="S137" i="24"/>
  <c r="S141" i="24"/>
  <c r="S145" i="24"/>
  <c r="S149" i="24"/>
  <c r="S153" i="24"/>
  <c r="S157" i="24"/>
  <c r="S161" i="24"/>
  <c r="S165" i="24"/>
  <c r="S169" i="24"/>
  <c r="S173" i="24"/>
  <c r="S177" i="24"/>
  <c r="S181" i="24"/>
  <c r="S185" i="24"/>
  <c r="S189" i="24"/>
  <c r="S193" i="24"/>
  <c r="S197" i="24"/>
  <c r="B14" i="24" l="1"/>
  <c r="G7" i="24"/>
  <c r="I7" i="24" s="1"/>
  <c r="G9" i="24"/>
  <c r="I9" i="24" s="1"/>
  <c r="B15" i="24"/>
  <c r="G8" i="24"/>
  <c r="I8" i="24" s="1"/>
  <c r="C32" i="24"/>
  <c r="H33" i="23"/>
  <c r="F31" i="24"/>
  <c r="H32" i="23"/>
  <c r="G33" i="24"/>
  <c r="K2" i="8"/>
  <c r="K10" i="8"/>
  <c r="K96" i="7"/>
  <c r="B14" i="22"/>
  <c r="C115" i="7"/>
  <c r="K84" i="7"/>
  <c r="K21" i="8"/>
  <c r="H103" i="7"/>
  <c r="I103" i="7" s="1"/>
  <c r="B80" i="22"/>
  <c r="C80" i="22" s="1"/>
  <c r="E24" i="6"/>
  <c r="B28" i="6"/>
  <c r="I14" i="24"/>
  <c r="J7" i="24"/>
  <c r="C89" i="7"/>
  <c r="H104" i="7" s="1"/>
  <c r="I104" i="7" s="1"/>
  <c r="D89" i="7"/>
  <c r="K83" i="7"/>
  <c r="K77" i="7"/>
  <c r="K79" i="7"/>
  <c r="H17" i="22"/>
  <c r="G17" i="22"/>
  <c r="K6" i="8"/>
  <c r="K14" i="8"/>
  <c r="K11" i="8"/>
  <c r="D5" i="27"/>
  <c r="E5" i="27" s="1"/>
  <c r="C20" i="6"/>
  <c r="L15" i="6"/>
  <c r="C23" i="6"/>
  <c r="C21" i="6"/>
  <c r="C22" i="6"/>
  <c r="C19" i="6"/>
  <c r="K91" i="7"/>
  <c r="K78" i="7"/>
  <c r="D14" i="22"/>
  <c r="E115" i="7"/>
  <c r="I42" i="25"/>
  <c r="H45" i="23"/>
  <c r="C35" i="24"/>
  <c r="K6" i="24"/>
  <c r="E31" i="24"/>
  <c r="H31" i="23"/>
  <c r="J8" i="24"/>
  <c r="I15" i="24"/>
  <c r="E15" i="24"/>
  <c r="I13" i="24"/>
  <c r="H43" i="23"/>
  <c r="E34" i="24"/>
  <c r="D31" i="24"/>
  <c r="G31" i="24" s="1"/>
  <c r="H30" i="23"/>
  <c r="D34" i="24"/>
  <c r="G34" i="24" s="1"/>
  <c r="H42" i="23"/>
  <c r="K13" i="8"/>
  <c r="K5" i="8"/>
  <c r="K81" i="7"/>
  <c r="K76" i="7"/>
  <c r="K87" i="7"/>
  <c r="F14" i="22"/>
  <c r="G115" i="7"/>
  <c r="C14" i="22"/>
  <c r="D115" i="7"/>
  <c r="D82" i="7"/>
  <c r="C82" i="7"/>
  <c r="H102" i="7" s="1"/>
  <c r="I102" i="7" s="1"/>
  <c r="K74" i="7"/>
  <c r="K88" i="7"/>
  <c r="K94" i="7"/>
  <c r="H15" i="22"/>
  <c r="G15" i="22"/>
  <c r="D98" i="7"/>
  <c r="K90" i="7"/>
  <c r="C98" i="7"/>
  <c r="H105" i="7" s="1"/>
  <c r="I105" i="7" s="1"/>
  <c r="K12" i="8"/>
  <c r="K4" i="8"/>
  <c r="G18" i="22"/>
  <c r="H18" i="22"/>
  <c r="I43" i="25"/>
  <c r="B23" i="24"/>
  <c r="B25" i="24" s="1"/>
  <c r="B24" i="24"/>
  <c r="F32" i="24"/>
  <c r="H36" i="23"/>
  <c r="F6" i="24"/>
  <c r="F115" i="7"/>
  <c r="E14" i="22"/>
  <c r="K95" i="7"/>
  <c r="K85" i="7"/>
  <c r="K93" i="7"/>
  <c r="K97" i="7"/>
  <c r="H16" i="22"/>
  <c r="G16" i="22"/>
  <c r="K80" i="7"/>
  <c r="L6" i="24" l="1"/>
  <c r="H6" i="24"/>
  <c r="B13" i="24"/>
  <c r="G6" i="24"/>
  <c r="E13" i="24" s="1"/>
  <c r="C22" i="22"/>
  <c r="D132" i="7"/>
  <c r="F132" i="7" s="1"/>
  <c r="K15" i="8"/>
  <c r="H8" i="24"/>
  <c r="H9" i="24"/>
  <c r="L7" i="24"/>
  <c r="D6" i="27"/>
  <c r="E6" i="27" s="1"/>
  <c r="D102" i="7"/>
  <c r="C7" i="22" s="1"/>
  <c r="G102" i="7"/>
  <c r="E102" i="7"/>
  <c r="D7" i="22" s="1"/>
  <c r="F102" i="7"/>
  <c r="E7" i="22" s="1"/>
  <c r="K82" i="7"/>
  <c r="C102" i="7"/>
  <c r="B7" i="22" s="1"/>
  <c r="D21" i="6"/>
  <c r="E103" i="7"/>
  <c r="D8" i="22" s="1"/>
  <c r="D7" i="27"/>
  <c r="E7" i="27" s="1"/>
  <c r="C15" i="27" s="1"/>
  <c r="D104" i="7"/>
  <c r="C9" i="22" s="1"/>
  <c r="G104" i="7"/>
  <c r="E104" i="7"/>
  <c r="D9" i="22" s="1"/>
  <c r="C104" i="7"/>
  <c r="B9" i="22" s="1"/>
  <c r="K89" i="7"/>
  <c r="F104" i="7"/>
  <c r="E9" i="22" s="1"/>
  <c r="E14" i="24"/>
  <c r="H14" i="24" s="1"/>
  <c r="J14" i="24" s="1"/>
  <c r="K14" i="24" s="1"/>
  <c r="B22" i="22"/>
  <c r="D131" i="7"/>
  <c r="F131" i="7" s="1"/>
  <c r="C119" i="7"/>
  <c r="G32" i="24"/>
  <c r="H7" i="24"/>
  <c r="G35" i="24"/>
  <c r="D22" i="6"/>
  <c r="F103" i="7"/>
  <c r="E8" i="22" s="1"/>
  <c r="D103" i="7"/>
  <c r="C8" i="22" s="1"/>
  <c r="D20" i="6"/>
  <c r="B35" i="24"/>
  <c r="H35" i="24" s="1"/>
  <c r="J35" i="24" s="1"/>
  <c r="F22" i="22"/>
  <c r="D135" i="7"/>
  <c r="F135" i="7" s="1"/>
  <c r="C120" i="7"/>
  <c r="G103" i="7"/>
  <c r="C25" i="6"/>
  <c r="D23" i="6"/>
  <c r="L8" i="24"/>
  <c r="C15" i="24"/>
  <c r="F15" i="24"/>
  <c r="G15" i="24" s="1"/>
  <c r="D15" i="24"/>
  <c r="H15" i="24"/>
  <c r="J15" i="24" s="1"/>
  <c r="K15" i="24" s="1"/>
  <c r="C14" i="24"/>
  <c r="F14" i="24"/>
  <c r="G14" i="24" s="1"/>
  <c r="D14" i="24"/>
  <c r="E22" i="22"/>
  <c r="D134" i="7"/>
  <c r="F134" i="7" s="1"/>
  <c r="D8" i="27"/>
  <c r="E8" i="27" s="1"/>
  <c r="D105" i="7"/>
  <c r="C10" i="22" s="1"/>
  <c r="E105" i="7"/>
  <c r="D10" i="22" s="1"/>
  <c r="C105" i="7"/>
  <c r="B10" i="22" s="1"/>
  <c r="G105" i="7"/>
  <c r="K98" i="7"/>
  <c r="F105" i="7"/>
  <c r="E10" i="22" s="1"/>
  <c r="G14" i="22"/>
  <c r="H14" i="22"/>
  <c r="D22" i="22"/>
  <c r="D133" i="7"/>
  <c r="F133" i="7" s="1"/>
  <c r="C24" i="6"/>
  <c r="D19" i="6"/>
  <c r="C103" i="7"/>
  <c r="B8" i="22" s="1"/>
  <c r="K16" i="8"/>
  <c r="L9" i="24"/>
  <c r="C13" i="24" l="1"/>
  <c r="F13" i="24"/>
  <c r="G13" i="24" s="1"/>
  <c r="H13" i="24"/>
  <c r="J13" i="24" s="1"/>
  <c r="K13" i="24" s="1"/>
  <c r="D13" i="24"/>
  <c r="B32" i="24"/>
  <c r="F8" i="22"/>
  <c r="D128" i="7"/>
  <c r="F128" i="7" s="1"/>
  <c r="J9" i="22"/>
  <c r="J7" i="22"/>
  <c r="F7" i="22"/>
  <c r="B31" i="24"/>
  <c r="D127" i="7"/>
  <c r="F127" i="7" s="1"/>
  <c r="C122" i="7"/>
  <c r="C121" i="7"/>
  <c r="J8" i="22"/>
  <c r="B77" i="22"/>
  <c r="C77" i="22" s="1"/>
  <c r="D137" i="7"/>
  <c r="F137" i="7" s="1"/>
  <c r="F120" i="7"/>
  <c r="B34" i="24"/>
  <c r="F10" i="22"/>
  <c r="D130" i="7"/>
  <c r="F130" i="7" s="1"/>
  <c r="I35" i="24"/>
  <c r="B76" i="22"/>
  <c r="D136" i="7"/>
  <c r="F136" i="7" s="1"/>
  <c r="F119" i="7"/>
  <c r="B33" i="24"/>
  <c r="F9" i="22"/>
  <c r="D129" i="7"/>
  <c r="F129" i="7" s="1"/>
  <c r="K17" i="8"/>
  <c r="I6" i="24"/>
  <c r="K19" i="8"/>
  <c r="D24" i="6"/>
  <c r="D25" i="6"/>
  <c r="K20" i="8"/>
  <c r="H22" i="22"/>
  <c r="G22" i="22"/>
  <c r="H10" i="22" l="1"/>
  <c r="G10" i="22"/>
  <c r="H9" i="22"/>
  <c r="G9" i="22"/>
  <c r="H34" i="24"/>
  <c r="J34" i="24" s="1"/>
  <c r="I34" i="24"/>
  <c r="H33" i="24"/>
  <c r="J33" i="24" s="1"/>
  <c r="I33" i="24"/>
  <c r="B78" i="22"/>
  <c r="D138" i="7"/>
  <c r="F138" i="7" s="1"/>
  <c r="F121" i="7"/>
  <c r="G7" i="22"/>
  <c r="H7" i="22"/>
  <c r="H8" i="22"/>
  <c r="G8" i="22"/>
  <c r="H31" i="24"/>
  <c r="J31" i="24" s="1"/>
  <c r="I31" i="24"/>
  <c r="J10" i="22"/>
  <c r="B79" i="22"/>
  <c r="D139" i="7"/>
  <c r="F139" i="7" s="1"/>
  <c r="F122" i="7"/>
  <c r="H32" i="24"/>
  <c r="J32" i="24" s="1"/>
  <c r="I32" i="24"/>
</calcChain>
</file>

<file path=xl/sharedStrings.xml><?xml version="1.0" encoding="utf-8"?>
<sst xmlns="http://schemas.openxmlformats.org/spreadsheetml/2006/main" count="16063" uniqueCount="5286">
  <si>
    <t>АПК «МАГНУЗ–МУФЛОН» — ЕКСПЕРТНО-АНАЛІТИЧНА СИСТЕМА СУПРОВОДУ ЛІКУВАННЯ</t>
  </si>
  <si>
    <t>Навігація по книзі. Стовпець «Для кого» показує основного адресата листа. Жовтим позначено листи, які заповнює персонал; зеленим — ті, що рахуються автоматично; сірим — довідкові.</t>
  </si>
  <si>
    <t>Лист</t>
  </si>
  <si>
    <t>Призначення</t>
  </si>
  <si>
    <t>Для кого</t>
  </si>
  <si>
    <t>Тип</t>
  </si>
  <si>
    <t>Статус</t>
  </si>
  <si>
    <t>Примітка</t>
  </si>
  <si>
    <t>Інструкція_протокол</t>
  </si>
  <si>
    <t>Експрес-керівництво користувача: концепція, домени, протокол</t>
  </si>
  <si>
    <t>Лікар, реабілітолог</t>
  </si>
  <si>
    <t>довідник</t>
  </si>
  <si>
    <t>наявний</t>
  </si>
  <si>
    <t>A_Картка_пацієнта</t>
  </si>
  <si>
    <t>Паспорт пацієнта та журнал сеансів</t>
  </si>
  <si>
    <t>Лікар, медсестра</t>
  </si>
  <si>
    <t>вхід</t>
  </si>
  <si>
    <t>НОВИЙ — заповнити</t>
  </si>
  <si>
    <t>Ключовий обліковий документ</t>
  </si>
  <si>
    <t>C_Чек-лист_безпеки</t>
  </si>
  <si>
    <t>Обов'язкова перевірка перед кожним сеансом</t>
  </si>
  <si>
    <t>Лікар, оператор</t>
  </si>
  <si>
    <t>19 пунктів, СТОП/УВАГА</t>
  </si>
  <si>
    <t>B_Дозиметрія_сеансів</t>
  </si>
  <si>
    <t>Фактично доставлені режими за зонами</t>
  </si>
  <si>
    <t>Оператор, інженер, метролог</t>
  </si>
  <si>
    <t>6 рядків на сеанс</t>
  </si>
  <si>
    <t>D_Небажані_явища</t>
  </si>
  <si>
    <t>Реєстр небажаних явищ (AE/SAE)</t>
  </si>
  <si>
    <t>Лікар, регуляторний супровід</t>
  </si>
  <si>
    <t>Вимога досьє</t>
  </si>
  <si>
    <t>1_Input_5_обстежень_</t>
  </si>
  <si>
    <t>Введення експрес-обстеження (33 показники)</t>
  </si>
  <si>
    <t>Лікар, дослідник</t>
  </si>
  <si>
    <t>Ваги виправлено на числа</t>
  </si>
  <si>
    <t>3_коефіцієнти_розширеного_аналі</t>
  </si>
  <si>
    <t>Введення повного обстеження (48 показників)</t>
  </si>
  <si>
    <t>2_Parameter_Scores</t>
  </si>
  <si>
    <t>Нормалізовані S-бали експрес-набору</t>
  </si>
  <si>
    <t>Біофізик</t>
  </si>
  <si>
    <t>авто</t>
  </si>
  <si>
    <t>5_Mechanistic</t>
  </si>
  <si>
    <t>Механістичний індекс MI (повне/експрес)</t>
  </si>
  <si>
    <t>Лікар, біофізик</t>
  </si>
  <si>
    <t>перебудовано</t>
  </si>
  <si>
    <t>Ядро доказовості</t>
  </si>
  <si>
    <t>6_Audit_Trail</t>
  </si>
  <si>
    <t>Усі 13 індексів + зведена панель лікаря</t>
  </si>
  <si>
    <t>Головний аналітичний лист</t>
  </si>
  <si>
    <t>7_Final</t>
  </si>
  <si>
    <t>Підсумкові домени, CREI та інтегральні індекси</t>
  </si>
  <si>
    <t>Лікар</t>
  </si>
  <si>
    <t>F_Статистика_когорти</t>
  </si>
  <si>
    <t>Описова статистика масиву 195 пацієнтів</t>
  </si>
  <si>
    <t>Біофізик-статистик</t>
  </si>
  <si>
    <t>НОВИЙ</t>
  </si>
  <si>
    <t>Рахується автоматично</t>
  </si>
  <si>
    <t>G1_Динаміка_індексів</t>
  </si>
  <si>
    <t>Динаміка індексів КОНКРЕТНОГО пацієнта за 5 обстеженнями + 3 графіки</t>
  </si>
  <si>
    <t>Головний лист візуалізації лікування</t>
  </si>
  <si>
    <t>F1_Когортні_індекси</t>
  </si>
  <si>
    <t>Динаміка ІНДЕКСІВ по 4 групах (195 пацієнтів) + 4 графіки</t>
  </si>
  <si>
    <t>⚠ частина показників могли бути втрачені</t>
  </si>
  <si>
    <t>K_Статистика_порівняння</t>
  </si>
  <si>
    <t>Описова статистика, порівняння когорт і пацієнта з когортою</t>
  </si>
  <si>
    <t>Біофізик-статистик, лікар</t>
  </si>
  <si>
    <t>Cohen’s d, 95% ДІ, перцентиль</t>
  </si>
  <si>
    <t>G_Тренди</t>
  </si>
  <si>
    <t>Трендові діаграми КОГОРТИ (195 пацієнтів, 4 групи)</t>
  </si>
  <si>
    <t>Замінив порожню заглушку</t>
  </si>
  <si>
    <t>2024_2026</t>
  </si>
  <si>
    <t>Клінічний масив: 195 пацієнтів × 5 візитів × 21 показник</t>
  </si>
  <si>
    <t>⚠ 16 з 21 показників втрачаються при експрес методах</t>
  </si>
  <si>
    <t>Терапія_по_зонах</t>
  </si>
  <si>
    <t>116 нозологій: базові 6 + прецизійні 6 зон</t>
  </si>
  <si>
    <t>розширено</t>
  </si>
  <si>
    <t>Стовпці AK–AS — нові</t>
  </si>
  <si>
    <t>6+1_зони_підсумок</t>
  </si>
  <si>
    <t>Зведена таблиця «6+1» для 116 нозологій</t>
  </si>
  <si>
    <t>Довідник_зон_S-matrix</t>
  </si>
  <si>
    <t>232 точки ТКМ: режими та застереження</t>
  </si>
  <si>
    <t>Колонка застережень — критична</t>
  </si>
  <si>
    <t>J_Карта_точок</t>
  </si>
  <si>
    <t>Схема тіла: де саме ставити аплікатор для обраної точки</t>
  </si>
  <si>
    <t>Лікар, оператор фізіотерапії</t>
  </si>
  <si>
    <t>Без макросів; точність ±3–6 см</t>
  </si>
  <si>
    <t>8_параметричны описи</t>
  </si>
  <si>
    <t>60 показників: обладнання, опитувальники, стандарти</t>
  </si>
  <si>
    <t>Метролог, клініцист</t>
  </si>
  <si>
    <t>Ліцензії позначено</t>
  </si>
  <si>
    <t>Інструкція_кор</t>
  </si>
  <si>
    <t>E_Метрологія_обладнання</t>
  </si>
  <si>
    <t>H_Валідація_моделі</t>
  </si>
  <si>
    <t>I_Журнал_версій</t>
  </si>
  <si>
    <t>Контроль змін конфігурації (IEC 62304)</t>
  </si>
  <si>
    <t>ВИЛУЧЕНО ПРИ АУДИТІ</t>
  </si>
  <si>
    <t>4_Reference_Standards</t>
  </si>
  <si>
    <t>Містив 33 рядки з ІДЕНТИЧНИМ текстом-заглушкою «IMMPACT/IASP/ESC/SENIAM/EuroQol depending on domain» — не вказував, який стандарт до якого показника належить. Повністю замінено конкретними стандартами у стовпці N листа «8_параметричны описи».</t>
  </si>
  <si>
    <t>9_Тренд_графіки</t>
  </si>
  <si>
    <t>Містив лише заголовок і підпис джерела — жодних даних чи діаграм. Замінено робочим листом «G_Тренди».</t>
  </si>
  <si>
    <t>ЗАХИСТ МЕТОДИКИ</t>
  </si>
  <si>
    <t>Що захищено</t>
  </si>
  <si>
    <t>Усі комірки з формулами на всіх листах заблоковано, кожен лист і структуру книги захищено паролем. Змінити розрахункову методику, вагові коефіцієнти поза дозволеними полями, додати чи вилучити листи без пароля неможливо.</t>
  </si>
  <si>
    <t>Що лишилось відкритим</t>
  </si>
  <si>
    <t>Введення даних працює як і раніше: листи обстежень, масив «2024_2026», картка пацієнта, дозиметрія, чек-лист, реєстр небажаних явищ, метрологія, журнал версій. Також відкриті: перемикач режиму та ваги на листі «5_Mechanistic», блоки ваг на листі «6_Audit_Trail», вибір точки на листі «J_Карта_точок».</t>
  </si>
  <si>
    <t>⚠ РЕАЛЬНИЙ РІВЕНЬ ЗАХИСТУ</t>
  </si>
  <si>
    <t>Парольний захист аркушів Excel НЕ є криптографічним. Він надійно запобігає ВИПАДКОВІЙ зміні формул, але фахівець зніме його безкоштовними утилітами за кілька хвилин. Для захисту ліцензованої методики в багатоцентровому дослідженні цього НЕДОСТАТНЬО — потрібні договірні зобов’язання центрів-учасників, передача розрахункового ядра у вигляді закритого сервісу або скомпільованого модуля, а також контроль версій із перевіркою контрольних сум файлу.</t>
  </si>
  <si>
    <t>Контроль цілісності</t>
  </si>
  <si>
    <t>Перед прийняттям даних від стороннього центру запускайте лист «H_Валідація_моделі»: якщо ваги чи структуру було змінено, загальний статус зміниться з «МОДЕЛЬ ЦІЛІСНА» на перелік відхилень.</t>
  </si>
  <si>
    <t>ЕКСПРЕС-КЕРІВНИЦТВО КОРИСТУВАЧА</t>
  </si>
  <si>
    <t>Експериментальна система біоадаптивної діагностики та реабілітації</t>
  </si>
  <si>
    <t>АПК «МАГНУЗ–МУФЛОН-7»</t>
  </si>
  <si>
    <t>Версія для лікаря, реабілітолога, фізичного терапевта та дослідника</t>
  </si>
  <si>
    <t>1. КОНЦЕПЦІЯ СИСТЕМИ</t>
  </si>
  <si>
    <t>Згідно з монографією та звітом НДР, АПК «МАГНУЗ–МУФЛОН-7» розглядається як біоадаптивна мультифізична система замкненого циклу, що об'єднує:</t>
  </si>
  <si>
    <t>1. Діагностику.</t>
  </si>
  <si>
    <t>2. Планування лікування.</t>
  </si>
  <si>
    <t>3. Реабілітаційний супровід.</t>
  </si>
  <si>
    <t>4. Періодичні контрольні огляди.</t>
  </si>
  <si>
    <t>5. Довготерміновий моніторинг результатів.</t>
  </si>
  <si>
    <t>Система побудована на принципі одночасного впливу на кілька доменів патологічного процесу:</t>
  </si>
  <si>
    <t>Домен</t>
  </si>
  <si>
    <t>Основна мішень</t>
  </si>
  <si>
    <t>Pain</t>
  </si>
  <si>
    <t>Біль</t>
  </si>
  <si>
    <t>Neuro</t>
  </si>
  <si>
    <t>Центральна сенситизація, ПТСР</t>
  </si>
  <si>
    <t>ANS</t>
  </si>
  <si>
    <t>Вегетативна дисфункція</t>
  </si>
  <si>
    <t>Function</t>
  </si>
  <si>
    <t>Рухова активність</t>
  </si>
  <si>
    <t>Trophic</t>
  </si>
  <si>
    <t>Трофіка та регенерація</t>
  </si>
  <si>
    <t>Digital</t>
  </si>
  <si>
    <t>Цифровий моніторинг</t>
  </si>
  <si>
    <t>Lab</t>
  </si>
  <si>
    <t>Біомаркери</t>
  </si>
  <si>
    <t>Основою лікувальної стратегії є персоналізоване керування 6 терапевтичними зонами через мультиатласну модель. [Монографія_2026 | Word], [Звіт_НДР_М...026_2027_1 | Word]</t>
  </si>
  <si>
    <t>2. ЛОГІКА РОБОТИ АПК</t>
  </si>
  <si>
    <t>Обстеження</t>
  </si>
  <si>
    <t>     ↓</t>
  </si>
  <si>
    <t>Оцінка ризиків</t>
  </si>
  <si>
    <t>MAGNUZ Excel AI</t>
  </si>
  <si>
    <t>Побудова S-Matrix</t>
  </si>
  <si>
    <t>Визначення 6+1 зон</t>
  </si>
  <si>
    <t>Протокол MUFLON-7</t>
  </si>
  <si>
    <t>Курс лікування</t>
  </si>
  <si>
    <t>Оцінка ефекту</t>
  </si>
  <si>
    <t>CREI</t>
  </si>
  <si>
    <t>RI</t>
  </si>
  <si>
    <t>ILREI</t>
  </si>
  <si>
    <t>Корекція протоколу</t>
  </si>
  <si>
    <t>3. ДІАГНОСТИЧНИЙ ПРОЦЕС</t>
  </si>
  <si>
    <t>Етап 1. Збір скарг</t>
  </si>
  <si>
    <t>Фіксуються:</t>
  </si>
  <si>
    <t>головна скарга;</t>
  </si>
  <si>
    <t>тривалість болю;</t>
  </si>
  <si>
    <t>локалізація;</t>
  </si>
  <si>
    <t>тип болю;</t>
  </si>
  <si>
    <t>порушення сну;</t>
  </si>
  <si>
    <t>тривожність;</t>
  </si>
  <si>
    <t>депресія;</t>
  </si>
  <si>
    <t>ПТСР.</t>
  </si>
  <si>
    <t>Етап 2. Первинний скринінг</t>
  </si>
  <si>
    <t>Обов'язкові інструменти:</t>
  </si>
  <si>
    <t>VAS</t>
  </si>
  <si>
    <t>NRS</t>
  </si>
  <si>
    <t>BPI</t>
  </si>
  <si>
    <t>DN4</t>
  </si>
  <si>
    <t>PainDETECT</t>
  </si>
  <si>
    <t>NPSI</t>
  </si>
  <si>
    <t>Ноципластичний компонент</t>
  </si>
  <si>
    <t>CSI</t>
  </si>
  <si>
    <t>Психоемоційний стан</t>
  </si>
  <si>
    <t>HADS-A</t>
  </si>
  <si>
    <t>HADS-D</t>
  </si>
  <si>
    <t>PCL-5</t>
  </si>
  <si>
    <t>PSS</t>
  </si>
  <si>
    <t>Сон та втома</t>
  </si>
  <si>
    <t>PSQI</t>
  </si>
  <si>
    <t>FSS</t>
  </si>
  <si>
    <t>Якість життя</t>
  </si>
  <si>
    <t>EQ-5D</t>
  </si>
  <si>
    <t>SF-36</t>
  </si>
  <si>
    <t>[Звіт_НДР_М...026_2027_1 | Word]</t>
  </si>
  <si>
    <t>Етап 3. Фізіологічні вимірювання</t>
  </si>
  <si>
    <t>Вегетативний блок</t>
  </si>
  <si>
    <t>HRV</t>
  </si>
  <si>
    <t>RMSSD</t>
  </si>
  <si>
    <t>SDNN</t>
  </si>
  <si>
    <t>LF</t>
  </si>
  <si>
    <t>HF</t>
  </si>
  <si>
    <t>LF/HF</t>
  </si>
  <si>
    <t>Трофічний блок</t>
  </si>
  <si>
    <t>StO₂</t>
  </si>
  <si>
    <t>Perfusion</t>
  </si>
  <si>
    <t>Microcirculation</t>
  </si>
  <si>
    <t>CRP</t>
  </si>
  <si>
    <t>CBC-index</t>
  </si>
  <si>
    <t>Функціональний блок</t>
  </si>
  <si>
    <t>ROM</t>
  </si>
  <si>
    <t>6MWT</t>
  </si>
  <si>
    <t>TUG</t>
  </si>
  <si>
    <t>Strength</t>
  </si>
  <si>
    <t>GripStrength</t>
  </si>
  <si>
    <t>LEFS</t>
  </si>
  <si>
    <t>ODI</t>
  </si>
  <si>
    <t>[Монографія_2026 | Word], [Звіт_НДР_М...026_2027_1 | Word]</t>
  </si>
  <si>
    <t>4. MAGNUZ EXCEL CORE</t>
  </si>
  <si>
    <t>Головне призначення</t>
  </si>
  <si>
    <t>ПЗ-ядро MAGNUZ виконує:</t>
  </si>
  <si>
    <t>нормалізацію даних;</t>
  </si>
  <si>
    <t>обчислення клінічних індексів;</t>
  </si>
  <si>
    <t>вибір зон МУФЛОН;</t>
  </si>
  <si>
    <t>контроль динаміки;</t>
  </si>
  <si>
    <t>підготовку звітів.</t>
  </si>
  <si>
    <t>5. СТРУКТУРА EXCEL-ЯДРА</t>
  </si>
  <si>
    <t>Лист 1. Clinical_Input</t>
  </si>
  <si>
    <t>Вводяться:</t>
  </si>
  <si>
    <t>Baseline</t>
  </si>
  <si>
    <t>Norm</t>
  </si>
  <si>
    <t>Day5</t>
  </si>
  <si>
    <t>Day10</t>
  </si>
  <si>
    <t>Day20</t>
  </si>
  <si>
    <t>Day40</t>
  </si>
  <si>
    <t>Day80</t>
  </si>
  <si>
    <t>Лист 2. Parameter Scores</t>
  </si>
  <si>
    <t>Автоматично розраховуються:</t>
  </si>
  <si>
    <t>S5</t>
  </si>
  <si>
    <t>S10</t>
  </si>
  <si>
    <t>S20</t>
  </si>
  <si>
    <t>S40</t>
  </si>
  <si>
    <t>S80</t>
  </si>
  <si>
    <t>``</t>
  </si>
  <si>
    <t>Для DOWN-показників:</t>
  </si>
  <si>
    <t>(Baseline-DayX)</t>
  </si>
  <si>
    <t>/</t>
  </si>
  <si>
    <t>(Baseline-Norm)</t>
  </si>
  <si>
    <t>Для UP-показників:</t>
  </si>
  <si>
    <t>(DayX-Baseline)</t>
  </si>
  <si>
    <t>(Norm-Baseline)</t>
  </si>
  <si>
    <t>Після чого значення обмежуються:</t>
  </si>
  <si>
    <t>0 ≤ Score ≤ 1</t>
  </si>
  <si>
    <t>6. ДОМЕНИ MAGNUZ</t>
  </si>
  <si>
    <t>Pain (30%)</t>
  </si>
  <si>
    <t>Оцінює:</t>
  </si>
  <si>
    <t>інтенсивність болю;</t>
  </si>
  <si>
    <t>нейропатичний компонент;</t>
  </si>
  <si>
    <t>хронізацію.</t>
  </si>
  <si>
    <t>Neuro (25%)</t>
  </si>
  <si>
    <t>ПТСР;</t>
  </si>
  <si>
    <t>катастрофізацію;</t>
  </si>
  <si>
    <t>центральну сенситизацію;</t>
  </si>
  <si>
    <t>сон;</t>
  </si>
  <si>
    <t>стрес.</t>
  </si>
  <si>
    <t>ANS (15%)</t>
  </si>
  <si>
    <t>автономну регуляцію;</t>
  </si>
  <si>
    <t>симпатикотонію;</t>
  </si>
  <si>
    <t>ваготонію.</t>
  </si>
  <si>
    <t>Function (20%)</t>
  </si>
  <si>
    <t>відновлення рухів;</t>
  </si>
  <si>
    <t>витривалість;</t>
  </si>
  <si>
    <t>мобільність.</t>
  </si>
  <si>
    <t>Trophic (10%)</t>
  </si>
  <si>
    <t>оксигенацію;</t>
  </si>
  <si>
    <t>запалення;</t>
  </si>
  <si>
    <t>мікроциркуляцію.</t>
  </si>
  <si>
    <t>[Звіт_НДР_М...026_2027_1 | Word], [Монографія_2026 | Word]</t>
  </si>
  <si>
    <t>7. КЛЮЧОВІ ІНДЕКСИ</t>
  </si>
  <si>
    <t>CEI</t>
  </si>
  <si>
    <t>Clinical Effectiveness Index.</t>
  </si>
  <si>
    <t>Відображає клінічний ефект.</t>
  </si>
  <si>
    <t>MI</t>
  </si>
  <si>
    <t>Mechanistic Index.</t>
  </si>
  <si>
    <t>Показує:</t>
  </si>
  <si>
    <t>нейромодуляцію;</t>
  </si>
  <si>
    <t>зниження сенситизації;</t>
  </si>
  <si>
    <t>нормалізацію АНС.</t>
  </si>
  <si>
    <t>FRI</t>
  </si>
  <si>
    <t>Functional Recovery Index.</t>
  </si>
  <si>
    <t>Оцінює функціональне відновлення.</t>
  </si>
  <si>
    <t>DMI</t>
  </si>
  <si>
    <t>Disease Modification Index.</t>
  </si>
  <si>
    <t>Відображає потенційний патогенетичний вплив.</t>
  </si>
  <si>
    <t>Composite Rehabilitation Effectiveness Index.</t>
  </si>
  <si>
    <t>Головний інтегральний показник ефективності лікування.</t>
  </si>
  <si>
    <t>Retention Index.</t>
  </si>
  <si>
    <t>Показує утримання ефекту після завершення курсу.</t>
  </si>
  <si>
    <t>IBI</t>
  </si>
  <si>
    <t>Integrated Biomedical Index.</t>
  </si>
  <si>
    <t>Комплексний біомедичний стан.</t>
  </si>
  <si>
    <t>Integrated Long-Term Rehabilitation Effectiveness Index.</t>
  </si>
  <si>
    <t>Головний інтегральний показник усієї системи.</t>
  </si>
  <si>
    <t>8. ПРИНЦИП РОБОТИ МУФЛОН-7</t>
  </si>
  <si>
    <t>МУФЛОН-7 реалізує одночасно три фізичні механізми:</t>
  </si>
  <si>
    <t>Електротерапія (одноконтактно-статична)</t>
  </si>
  <si>
    <t>Аналог:</t>
  </si>
  <si>
    <t>TENS;</t>
  </si>
  <si>
    <t>Microcurrent.</t>
  </si>
  <si>
    <t>Магнітотерапія (модульовані акорди)</t>
  </si>
  <si>
    <t>PEMF ICR</t>
  </si>
  <si>
    <t>Механотерапія (пьезовипромінювач)</t>
  </si>
  <si>
    <t>вібрація;</t>
  </si>
  <si>
    <t>LIPUS-подібна дія.</t>
  </si>
  <si>
    <t>9. ШЕСТИЗОННА МОДЕЛЬ ЛІКУВАННЯ</t>
  </si>
  <si>
    <t>Зона 1 — головна больова.</t>
  </si>
  <si>
    <t>Зона 2 — фасціальна.</t>
  </si>
  <si>
    <t>Зона 3 — дистальна.</t>
  </si>
  <si>
    <t>Зона 4 — сегментарна.</t>
  </si>
  <si>
    <t>Зона 5 — вегетативна.</t>
  </si>
  <si>
    <t>Зона 6 — етіологічна.</t>
  </si>
  <si>
    <t>10. ПОРЯДОК ПРОВЕДЕННЯ СЕАНСУ</t>
  </si>
  <si>
    <t>Рекомендована схема обходження зон:</t>
  </si>
  <si>
    <t>↓</t>
  </si>
  <si>
    <t>Тривалість:</t>
  </si>
  <si>
    <t>25–45 хв</t>
  </si>
  <si>
    <t>Кратність:</t>
  </si>
  <si>
    <t>2 рази на добу</t>
  </si>
  <si>
    <t>Оптимальний курс:</t>
  </si>
  <si>
    <t>14 діб</t>
  </si>
  <si>
    <t>11. ПЕРІОДИЧНІ ОГЛЯДИ</t>
  </si>
  <si>
    <t>До курсу</t>
  </si>
  <si>
    <t>Baseline.</t>
  </si>
  <si>
    <t>Під час курсу</t>
  </si>
  <si>
    <t>День 5.</t>
  </si>
  <si>
    <t>День 10.</t>
  </si>
  <si>
    <t>Після курсу</t>
  </si>
  <si>
    <t>День 20.</t>
  </si>
  <si>
    <t>Follow-Up</t>
  </si>
  <si>
    <t>День 40.</t>
  </si>
  <si>
    <t>День 80.</t>
  </si>
  <si>
    <t>Довгостроковий контроль</t>
  </si>
  <si>
    <t>4 тижні</t>
  </si>
  <si>
    <t>8 тижнів</t>
  </si>
  <si>
    <t>12 тижнів</t>
  </si>
  <si>
    <t>24 тижні</t>
  </si>
  <si>
    <t>Статистична обробка результатів проводиться в звязаній книзі Excel-corr та авторськими Pithon-скриптами.</t>
  </si>
  <si>
    <t>12. КОЛИ ПОТРІБНА КОРЕКЦІЯ ПРОТОКОЛУ</t>
  </si>
  <si>
    <t>Корекція рекомендована якщо:</t>
  </si>
  <si>
    <t>VAS ↓ &lt;30%</t>
  </si>
  <si>
    <t>або</t>
  </si>
  <si>
    <t>CSI ↓ &lt;20%</t>
  </si>
  <si>
    <t>RI &lt; 0.75</t>
  </si>
  <si>
    <t>ILREI &lt; 0.50</t>
  </si>
  <si>
    <t>13. ПРОТИПОКАЗАННЯ</t>
  </si>
  <si>
    <t>Перед початком роботи необхідно оцінити можливі протипоказання та клінічні ризики.</t>
  </si>
  <si>
    <t>Особливу увагу слід приділяти пацієнтам із:</t>
  </si>
  <si>
    <t>прогресуючими онкологічними процесами;</t>
  </si>
  <si>
    <t>активними інфекційними станами;</t>
  </si>
  <si>
    <t>декомпенсованими серцево-судинними захворюваннями;</t>
  </si>
  <si>
    <t>імплантованими електронними пристроями;</t>
  </si>
  <si>
    <t>іншими станами, що потребують індивідуальної медичної оцінки.</t>
  </si>
  <si>
    <t>ПІДСУМОК</t>
  </si>
  <si>
    <t>Концепція МАГНУЗ–МУФЛОН-7 являє собою експериментальний біоадаптивний контур:</t>
  </si>
  <si>
    <t>Діагностика</t>
  </si>
  <si>
    <t>→ Нормалізація даних</t>
  </si>
  <si>
    <t>→ S-Matrix</t>
  </si>
  <si>
    <t>→ Вибір 6 зон</t>
  </si>
  <si>
    <t>→ MUFLON-7</t>
  </si>
  <si>
    <t>→ CREI</t>
  </si>
  <si>
    <t>→ RI</t>
  </si>
  <si>
    <t>→ ILREI</t>
  </si>
  <si>
    <t>→ Корекція лікування</t>
  </si>
  <si>
    <t>де MAGNUZ є інтелектуальним аналітичним ядром, а МУФЛОН-7 — мультифізичним терапевтичним модулем персоналізованої реабілітації. У наданих матеріалах система лікування СХРБ описується як експериментальна концепція, що потребує подальшої клінічної валідації та застосування відповідно до чинних вимог безпеки й регуляторних процедур. [Монографія_2026 | Word], [Звіт_НДР_М...026_2027_1 | Word]</t>
  </si>
  <si>
    <t>Domain</t>
  </si>
  <si>
    <t>Code</t>
  </si>
  <si>
    <t>English Name</t>
  </si>
  <si>
    <t>Український опис</t>
  </si>
  <si>
    <t>Direction</t>
  </si>
  <si>
    <t>Коефіцієнт ваги в домені</t>
  </si>
  <si>
    <t>Ukrainian</t>
  </si>
  <si>
    <t>Visual Analog Scale</t>
  </si>
  <si>
    <t>Візуально-аналогова шкала болю; суб’єктивна оцінка інтенсивності болю</t>
  </si>
  <si>
    <t>↓ добре</t>
  </si>
  <si>
    <t>Numeric Rating Scale</t>
  </si>
  <si>
    <t>Числова рейтингова шкала болю</t>
  </si>
  <si>
    <t>Brief Pain Inventory</t>
  </si>
  <si>
    <t>Вплив болю на функціонування</t>
  </si>
  <si>
    <t>Douleur Neuropathique 4</t>
  </si>
  <si>
    <t>Скринінг нейропатичного болю</t>
  </si>
  <si>
    <t>PainDETECT Questionnaire</t>
  </si>
  <si>
    <t>Ймовірність нейропатичного компоненту болю</t>
  </si>
  <si>
    <t>Neuropathic Pain Symptom Inventory</t>
  </si>
  <si>
    <t>Структура нейропатичного болю</t>
  </si>
  <si>
    <t>PainDuration</t>
  </si>
  <si>
    <t>Pain Duration</t>
  </si>
  <si>
    <t>Тривалість хронічного болю</t>
  </si>
  <si>
    <t>Central Sensitization Inventory</t>
  </si>
  <si>
    <t>Ознаки центральної сенситизації</t>
  </si>
  <si>
    <t>PCS</t>
  </si>
  <si>
    <t>Pain Catastrophizing Scale</t>
  </si>
  <si>
    <t>Катастрофізація болю</t>
  </si>
  <si>
    <t>HADS_A</t>
  </si>
  <si>
    <t>Hospital Anxiety Scale</t>
  </si>
  <si>
    <t>Тривожність</t>
  </si>
  <si>
    <t>HADS_D</t>
  </si>
  <si>
    <t>Hospital Depression Scale</t>
  </si>
  <si>
    <t>Депресія</t>
  </si>
  <si>
    <t>PCL5</t>
  </si>
  <si>
    <t>PTSD Checklist DSM-5</t>
  </si>
  <si>
    <t>Вираженість ПТСР</t>
  </si>
  <si>
    <t>Perceived Stress Scale</t>
  </si>
  <si>
    <t>Сприйнятий стрес</t>
  </si>
  <si>
    <t>Fatigue Severity Scale</t>
  </si>
  <si>
    <t>Втома</t>
  </si>
  <si>
    <t>Pittsburgh Sleep Quality Index</t>
  </si>
  <si>
    <t>Якість сну</t>
  </si>
  <si>
    <t>Heart Rate Variability</t>
  </si>
  <si>
    <t>Варіабельність серцевого ритму</t>
  </si>
  <si>
    <t>↑ добре</t>
  </si>
  <si>
    <t>Парасимпатична активність</t>
  </si>
  <si>
    <t>Загальна автономна регуляція</t>
  </si>
  <si>
    <t>LFHF</t>
  </si>
  <si>
    <t>LF/HF Ratio</t>
  </si>
  <si>
    <t>Симпато-вагальний баланс</t>
  </si>
  <si>
    <t>HR</t>
  </si>
  <si>
    <t>Heart Rate</t>
  </si>
  <si>
    <t>Частота серцевих скорочень</t>
  </si>
  <si>
    <t>BP</t>
  </si>
  <si>
    <t>Blood Pressure Index</t>
  </si>
  <si>
    <t>Артеріальний тиск</t>
  </si>
  <si>
    <t>Range of Motion</t>
  </si>
  <si>
    <t>Обсяг рухів</t>
  </si>
  <si>
    <t>6 Minute Walk Test</t>
  </si>
  <si>
    <t>Толерантність до навантаження</t>
  </si>
  <si>
    <t>Timed Up and Go</t>
  </si>
  <si>
    <t>Мобільність та ризик падінь</t>
  </si>
  <si>
    <t>Muscle Strength</t>
  </si>
  <si>
    <t>М’язова сила</t>
  </si>
  <si>
    <t>Lower Extremity Functional Scale</t>
  </si>
  <si>
    <t>Функція кінцівки</t>
  </si>
  <si>
    <t>Oswestry Disability Index</t>
  </si>
  <si>
    <t>Інвалідизація через біль</t>
  </si>
  <si>
    <t>StO2</t>
  </si>
  <si>
    <t>Tissue Oxygenation</t>
  </si>
  <si>
    <t>Оксигенація тканин</t>
  </si>
  <si>
    <t>Perfusion Index</t>
  </si>
  <si>
    <t>Тканинна перфузія</t>
  </si>
  <si>
    <t>Bioimpedance</t>
  </si>
  <si>
    <t>Набряк та гідратація тканин</t>
  </si>
  <si>
    <t>LocalTemp</t>
  </si>
  <si>
    <t>Local Temperature</t>
  </si>
  <si>
    <t>Локальне запалення</t>
  </si>
  <si>
    <t>C-reactive Protein</t>
  </si>
  <si>
    <t>Системне запалення</t>
  </si>
  <si>
    <t>CBCindex</t>
  </si>
  <si>
    <t>CBC Inflammatory Index</t>
  </si>
  <si>
    <t>Запальна активність крові</t>
  </si>
  <si>
    <t>Weight</t>
  </si>
  <si>
    <t>Parameter</t>
  </si>
  <si>
    <t>Dir</t>
  </si>
  <si>
    <t>вага в домені</t>
  </si>
  <si>
    <t>ProposedWeight</t>
  </si>
  <si>
    <t>Англійська назва</t>
  </si>
  <si>
    <t>Українська назва</t>
  </si>
  <si>
    <t>Що оцінює</t>
  </si>
  <si>
    <t>DOWN</t>
  </si>
  <si>
    <t>Візуально-аналогова шкала болю</t>
  </si>
  <si>
    <t>Суб'єктивна інтенсивність болю</t>
  </si>
  <si>
    <t>Інтенсивність болю за 11-бальною шкалою</t>
  </si>
  <si>
    <t>Короткий опитувальник болю</t>
  </si>
  <si>
    <t>Вплив болю на повсякденне функціонування</t>
  </si>
  <si>
    <t>Опитувальник нейропатичного болю DN4</t>
  </si>
  <si>
    <t>Ймовірність нейропатичного компонента болю</t>
  </si>
  <si>
    <t>Опитувальник PainDETECT</t>
  </si>
  <si>
    <t>Інвентар симптомів нейропатичного болю</t>
  </si>
  <si>
    <t>Структура та прояви нейропатичного болю</t>
  </si>
  <si>
    <t>Тривалість больового синдрому</t>
  </si>
  <si>
    <t>Хронізація болю</t>
  </si>
  <si>
    <t>Індекс центральної сенситизації</t>
  </si>
  <si>
    <t>Ознаки ноципластичного болю та центральної сенситизації</t>
  </si>
  <si>
    <t>Шкала катастрофізації болю</t>
  </si>
  <si>
    <t>Негативні когнітивні очікування щодо болю</t>
  </si>
  <si>
    <t>Hospital Anxiety and Depression Scale – Anxiety</t>
  </si>
  <si>
    <t>Госпітальна шкала тривоги (підшкала тривоги)</t>
  </si>
  <si>
    <t>Рівень тривожності</t>
  </si>
  <si>
    <t>Hospital Anxiety and Depression Scale – Depression</t>
  </si>
  <si>
    <t>Госпітальна шкала депресії (підшкала депресії)</t>
  </si>
  <si>
    <t>Рівень депресії</t>
  </si>
  <si>
    <t>PTSD Checklist for DSM-5</t>
  </si>
  <si>
    <t>Контрольний список симптомів ПТСР DSM-5</t>
  </si>
  <si>
    <t>Вираженість посттравматичного стресового розладу</t>
  </si>
  <si>
    <t>Шкала сприйнятого стресу</t>
  </si>
  <si>
    <t>Суб'єктивний рівень стресу</t>
  </si>
  <si>
    <t>Шкала вираженості втоми</t>
  </si>
  <si>
    <t>Хронічна втома</t>
  </si>
  <si>
    <t>Піттсбурзький індекс якості сну</t>
  </si>
  <si>
    <t>Якість нічного сну</t>
  </si>
  <si>
    <t>MoCA</t>
  </si>
  <si>
    <t>UP</t>
  </si>
  <si>
    <t>Montreal Cognitive Assessment</t>
  </si>
  <si>
    <t>Монреальська шкала когнітивної оцінки</t>
  </si>
  <si>
    <t>Когнітивні функції</t>
  </si>
  <si>
    <t>MMSE</t>
  </si>
  <si>
    <t>Mini Mental State Examination</t>
  </si>
  <si>
    <t>Коротка шкала оцінки психічного статусу</t>
  </si>
  <si>
    <t>Загальний когнітивний стан</t>
  </si>
  <si>
    <t>EQ5D</t>
  </si>
  <si>
    <t>EuroQol 5 Dimensions</t>
  </si>
  <si>
    <t>Опитувальник EQ-5D</t>
  </si>
  <si>
    <t>Якість життя, пов'язана зі здоров'ям</t>
  </si>
  <si>
    <t>SF36</t>
  </si>
  <si>
    <t>Short Form-36 Health Survey</t>
  </si>
  <si>
    <t>Опитувальник SF-36</t>
  </si>
  <si>
    <t>Загальна якість життя</t>
  </si>
  <si>
    <t>Автономна регуляція серцево-судинної системи</t>
  </si>
  <si>
    <t>Root Mean Square of Successive Differences</t>
  </si>
  <si>
    <t>Квадратичне середнє послідовних різниць RR-інтервалів</t>
  </si>
  <si>
    <t>Standard Deviation of NN intervals</t>
  </si>
  <si>
    <t>Стандартне відхилення NN-інтервалів</t>
  </si>
  <si>
    <t>Загальна активність автономної нервової системи</t>
  </si>
  <si>
    <t>Low Frequency Power</t>
  </si>
  <si>
    <t>Потужність низькочастотного діапазону HRV</t>
  </si>
  <si>
    <t>Переважно симпатична активність</t>
  </si>
  <si>
    <t>High Frequency Power</t>
  </si>
  <si>
    <t>Потужність високочастотного діапазону HRV</t>
  </si>
  <si>
    <t>Переважно парасимпатична активність</t>
  </si>
  <si>
    <t>Співвідношення LF/HF</t>
  </si>
  <si>
    <t>Кардіоваскулярне навантаження</t>
  </si>
  <si>
    <t>SBP</t>
  </si>
  <si>
    <t>Systolic Blood Pressure</t>
  </si>
  <si>
    <t>Систолічний артеріальний тиск</t>
  </si>
  <si>
    <t>Судинний тонус</t>
  </si>
  <si>
    <t>DBP</t>
  </si>
  <si>
    <t>Diastolic Blood Pressure</t>
  </si>
  <si>
    <t>Діастолічний артеріальний тиск</t>
  </si>
  <si>
    <t>Судинний тонус у діастолу</t>
  </si>
  <si>
    <t>Функціональна рухливість суглобів</t>
  </si>
  <si>
    <t>Six-Minute Walk Test</t>
  </si>
  <si>
    <t>Шестихвилинний тест ходьби</t>
  </si>
  <si>
    <t>Толерантність до фізичного навантаження</t>
  </si>
  <si>
    <t>Timed Up and Go Test</t>
  </si>
  <si>
    <t>Тест «Встав і йди»</t>
  </si>
  <si>
    <t>Функціональна мобільність та ризик падіння</t>
  </si>
  <si>
    <t>М'язова сила</t>
  </si>
  <si>
    <t>Загальна сила м'язів</t>
  </si>
  <si>
    <t>Hand Grip Strength</t>
  </si>
  <si>
    <t>Сила кистьового захвату</t>
  </si>
  <si>
    <t>Загальний функціональний статус скелетної мускулатури</t>
  </si>
  <si>
    <t>Шкала функції нижньої кінцівки</t>
  </si>
  <si>
    <t>Функціональна спроможність нижніх кінцівок</t>
  </si>
  <si>
    <t>Індекс інвалідизації Освестрі</t>
  </si>
  <si>
    <t>Рівень функціональних обмежень через біль</t>
  </si>
  <si>
    <t>Tissue Oxygen Saturation</t>
  </si>
  <si>
    <t>Насичення тканин киснем</t>
  </si>
  <si>
    <t>Тканинна оксигенація</t>
  </si>
  <si>
    <t>Індекс перфузії</t>
  </si>
  <si>
    <t>Кровопостачання тканин</t>
  </si>
  <si>
    <t>Microcirculation Assessment</t>
  </si>
  <si>
    <t>Оцінка мікроциркуляції</t>
  </si>
  <si>
    <t>Мікросудинний кровообіг</t>
  </si>
  <si>
    <t>Bioimpedance Analysis</t>
  </si>
  <si>
    <t>Біоімпедансний аналіз</t>
  </si>
  <si>
    <t>Набряк та водний баланс тканин</t>
  </si>
  <si>
    <t>Локальна температура тканин</t>
  </si>
  <si>
    <t>C-Reactive Protein</t>
  </si>
  <si>
    <t>С-реактивний білок</t>
  </si>
  <si>
    <t>Complete Blood Count Inflammatory Index</t>
  </si>
  <si>
    <t>Інтегральний запальний індекс загального аналізу крові</t>
  </si>
  <si>
    <t>Системна запальна активність</t>
  </si>
  <si>
    <t>SleepDuration</t>
  </si>
  <si>
    <t>Sleep Duration</t>
  </si>
  <si>
    <t>Тривалість сну</t>
  </si>
  <si>
    <t>Відновлення організму</t>
  </si>
  <si>
    <t>Actigraphy</t>
  </si>
  <si>
    <t>Актіграфія</t>
  </si>
  <si>
    <t>Рівень добової фізичної активності</t>
  </si>
  <si>
    <t>ESR</t>
  </si>
  <si>
    <t>Erythrocyte Sedimentation Rate</t>
  </si>
  <si>
    <t>Швидкість осідання еритроцитів (ШОЕ)</t>
  </si>
  <si>
    <t>Хронічне запалення</t>
  </si>
  <si>
    <t>Biochemistry</t>
  </si>
  <si>
    <t>Blood Biochemistry Panel</t>
  </si>
  <si>
    <t>Біохімічні показники крові</t>
  </si>
  <si>
    <t>Метаболічний статус</t>
  </si>
  <si>
    <t>Urinalysis</t>
  </si>
  <si>
    <t>Загальний аналіз сечі</t>
  </si>
  <si>
    <t>Стан нирок та водного балансу</t>
  </si>
  <si>
    <t>MedicationLoad</t>
  </si>
  <si>
    <t>Medication Burden</t>
  </si>
  <si>
    <t>Медикаментозне навантаження</t>
  </si>
  <si>
    <t>Інтенсивність фармакотерапії</t>
  </si>
  <si>
    <t>МЕХАНІСТИЧНИЙ ІНДЕКС (MI) — розрахунок за повним або експрес-обстеженням</t>
  </si>
  <si>
    <t>Індекс агрегує лише ті показники, що відображають МЕХАНІЗМ дії втручання (центральна сенситизація, автономна регуляція, запалення, тканинна перфузія й оксигенація, біомеханіка). Ваги автоматично перенормовуються на фактично доступні маркери — тому індекс залишається порівнянним і при повному (48 показників, лист 3), і при скороченому (33 показники, лист 2) обстеженні.</t>
  </si>
  <si>
    <t>РЕЖИМ ДЖЕРЕЛА ДАНИХ →</t>
  </si>
  <si>
    <t>АВТО</t>
  </si>
  <si>
    <t>АВТО — брати з повного обстеження, а за відсутності показника автоматично підставляти з експрес-обстеження. ПОВНЕ — лише лист 3. ЕКСПРЕС — лише лист 2. (жовта комірка — редагується лікарем)</t>
  </si>
  <si>
    <t>Маркер
(код)</t>
  </si>
  <si>
    <t>Що відображає механістично</t>
  </si>
  <si>
    <t>Задана
вага</t>
  </si>
  <si>
    <t>Напрямок
корисної зміни</t>
  </si>
  <si>
    <t>Фактичне джерело даних</t>
  </si>
  <si>
    <t>Дост.
(1/0)</t>
  </si>
  <si>
    <t>Ефективна
вага</t>
  </si>
  <si>
    <t>Рівень доказовості маркера</t>
  </si>
  <si>
    <t>Центральна сенситизація (ноципластичний механізм)</t>
  </si>
  <si>
    <t>↓ зниження</t>
  </si>
  <si>
    <t>Валідований опитувальник (Mayer 2012)</t>
  </si>
  <si>
    <t>Парасимпатична регуляція</t>
  </si>
  <si>
    <t>↑ зростання</t>
  </si>
  <si>
    <t>Валідований біомаркер (ESC/NASPE 1996)</t>
  </si>
  <si>
    <t>↓ нормалізація</t>
  </si>
  <si>
    <t>Біомаркер; трактування дискусійне</t>
  </si>
  <si>
    <t>Біомеханіка: відновлення рухливості</t>
  </si>
  <si>
    <t>Інструментальний, стандарт AAOS</t>
  </si>
  <si>
    <t>Валідований лабораторний біомаркер</t>
  </si>
  <si>
    <t>Експериментальний біомаркер (NIRS)</t>
  </si>
  <si>
    <t>Мікроциркуляція / перфузія</t>
  </si>
  <si>
    <t>Експериментальний біомаркер</t>
  </si>
  <si>
    <t>РАЗОМ</t>
  </si>
  <si>
    <t>сума заданих ваг</t>
  </si>
  <si>
    <t>ефективні ваги завжди сумуються в 1,000</t>
  </si>
  <si>
    <t>РЕЗУЛЬТАТ: МЕХАНІСТИЧНИЙ ІНДЕКС</t>
  </si>
  <si>
    <t>Контрольна точка</t>
  </si>
  <si>
    <t>Пояснення</t>
  </si>
  <si>
    <t>MI (0–1)</t>
  </si>
  <si>
    <t>Інтерпретація</t>
  </si>
  <si>
    <t>Покриття ваги, %</t>
  </si>
  <si>
    <t>MI_Day5</t>
  </si>
  <si>
    <t>Механістична відповідь на 5-у добу</t>
  </si>
  <si>
    <t>MI_Day10</t>
  </si>
  <si>
    <t>Механістична відповідь на 10-у добу</t>
  </si>
  <si>
    <t>MI_Day20</t>
  </si>
  <si>
    <t>Механістична відповідь на 20-у добу</t>
  </si>
  <si>
    <t>MI_Day40</t>
  </si>
  <si>
    <t>Механістична відповідь на 40-у добу</t>
  </si>
  <si>
    <t>MI_Day80</t>
  </si>
  <si>
    <t>Механістична відповідь на 80-у добу</t>
  </si>
  <si>
    <t>MI_LongTerm</t>
  </si>
  <si>
    <t>Довгостроковий механістичний індекс (ті самі вагові коефіцієнти контрольних точок, що й для LongTerm_CREI на листі 7)</t>
  </si>
  <si>
    <t>MI_Retention</t>
  </si>
  <si>
    <t>Утримання механістичного ефекту: Day80 відносно плато Day20–Day40</t>
  </si>
  <si>
    <t>⚠ КОНТРОЛЬ ДОСТОВІРНОСТІ</t>
  </si>
  <si>
    <t>ПРИМІТКИ ТА МЕТОДИКА</t>
  </si>
  <si>
    <t>Формула</t>
  </si>
  <si>
    <t>MI(день) = Σ (ефективна_вага_маркера × S-бал_маркера). Ефективна вага = задана вага маркера, поділена на суму заданих ваг ЛИШЕ доступних маркерів. Завдяки цьому сума ефективних ваг завжди дорівнює 1,000, а індекс не занижується через відсутні показники.</t>
  </si>
  <si>
    <t>Чому саме перенормування</t>
  </si>
  <si>
    <t>Якщо просто підставити нуль замість відсутнього показника, індекс штучно занижується пропорційно вазі цього показника, і повне та експрес-обстеження стають непорівнянними. Перенормування усуває цю систематичну похибку.</t>
  </si>
  <si>
    <t>Джерела S-балів</t>
  </si>
  <si>
    <t>Повне обстеження — лист «3_коефіцієнти_розширеного_аналі» (48 показників, стовпці S5–S80). Експрес-обстеження — лист «2_Parameter_Scores» (33 показники). У режимі АВТО показник береться з повного обстеження, а за його відсутності — з експрес-обстеження (фактичне джерело для кожного маркера показано в стовпці E).</t>
  </si>
  <si>
    <t>Внесене виправлення</t>
  </si>
  <si>
    <t>ROM раніше був у переліку механістичних маркерів, але БЕЗ вагового коефіцієнта, тож фактично не враховувався. Йому призначено вагу 0,10. Решту ваг збережено без змін — оскільки перенормування працює з відносними величинами, сума заданих ваг (1,10) не спотворює результат.</t>
  </si>
  <si>
    <t>Формат коефіцієнтів</t>
  </si>
  <si>
    <t>Ваги раніше зберігалися як ТЕКСТ ("0.20") і не могли брати участь в обчисленнях. Тепер це числа; жовті комірки стовпця C редагуються лікарем за потреби.</t>
  </si>
  <si>
    <t>Шкала інтерпретації</t>
  </si>
  <si>
    <t>MI &lt; 0,25 — мінімальна; 0,25–0,45 — часткова; 0,45–0,65 — помірна; 0,65–0,80 — виражена; ≥ 0,80 — максимальна механістична відповідь. Шкала є робочою (авторською) і підлягає калібруванню на власній вибірці.</t>
  </si>
  <si>
    <t>Клінічне застереження</t>
  </si>
  <si>
    <t>MI відображає МЕХАНІЗМ, а не самопочуття пацієнта. Розбіжність між високим MI і низьким больовим доменом (або навпаки) — привід переглянути протокол, а не привід ігнорувати скарги. Остаточне рішення приймає лікар.</t>
  </si>
  <si>
    <t>Параметр</t>
  </si>
  <si>
    <t>CREI5</t>
  </si>
  <si>
    <t>CREI10</t>
  </si>
  <si>
    <t>CREI20</t>
  </si>
  <si>
    <t>CREI40</t>
  </si>
  <si>
    <t>CREI80</t>
  </si>
  <si>
    <t>LongTerm_CREI</t>
  </si>
  <si>
    <t>Індекс клінічної ефективності</t>
  </si>
  <si>
    <t>Механістичний індекс</t>
  </si>
  <si>
    <t>Індекс функціонального відновлення</t>
  </si>
  <si>
    <t>Індекс модифікації патологічного процесу</t>
  </si>
  <si>
    <t>Композитний індекс ефективності (5 доба)</t>
  </si>
  <si>
    <t>Композитний індекс ефективності (10 доба)</t>
  </si>
  <si>
    <t>Композитний індекс ефективності (20 доба)</t>
  </si>
  <si>
    <t>Композитний індекс ефективності (40 доба)</t>
  </si>
  <si>
    <t>Композитний індекс ефективності (80 доба)</t>
  </si>
  <si>
    <t>Інтегральний довготривалий ефект</t>
  </si>
  <si>
    <t>Індекс утримання ефекту, стійкість відновлення</t>
  </si>
  <si>
    <t>Інтегральний довгостроковий індекс реабілітаційної ефективності</t>
  </si>
  <si>
    <t>Інтегральний біомедичний індекс, якість відновлення</t>
  </si>
  <si>
    <t>Clinical Effectiveness Index</t>
  </si>
  <si>
    <t>Mechanistic Index</t>
  </si>
  <si>
    <t>Functional Recovery Index</t>
  </si>
  <si>
    <t>Disease Modification Index</t>
  </si>
  <si>
    <t>Composite Rehabilitation Effectiveness Index Day 5</t>
  </si>
  <si>
    <t>Composite Rehabilitation Effectiveness Index Day 10</t>
  </si>
  <si>
    <t>Composite Rehabilitation Effectiveness Index Day 20</t>
  </si>
  <si>
    <t>Composite Rehabilitation Effectiveness Index Day 40</t>
  </si>
  <si>
    <t>Composite Rehabilitation Effectiveness Index Day 80</t>
  </si>
  <si>
    <t>Long-Term Composite Rehabilitation Effectiveness Index</t>
  </si>
  <si>
    <t>Retention Index</t>
  </si>
  <si>
    <t>Integrated Long-Term Rehabilitation Effectiveness Index</t>
  </si>
  <si>
    <t>Integrated Biomedical Index</t>
  </si>
  <si>
    <t>Безпосередній клінічний ефект лікування за симптоматичними шкалами</t>
  </si>
  <si>
    <t>Наявність механістичних доказів впливу на патофізіологію болю та ПТСР</t>
  </si>
  <si>
    <t>Відновлення функціональної активності та рухливості</t>
  </si>
  <si>
    <t>Потенційну модифікацію патологічного процесу, а не лише симптомів</t>
  </si>
  <si>
    <t>Інтегральний ефект на 5 добу лікування</t>
  </si>
  <si>
    <t>Інтегральний ефект на 10 добу лікування</t>
  </si>
  <si>
    <t>Інтегральний ефект на 20 добу лікування</t>
  </si>
  <si>
    <t>Інтегральний ефект на 40 добу лікування</t>
  </si>
  <si>
    <t>Інтегральний ефект на 80 добу лікування</t>
  </si>
  <si>
    <t>Середньозважений стійкий ефект за весь період спостереження</t>
  </si>
  <si>
    <t>Ступінь збереження ефекту між 20 та 80 добою. RI &gt; 1
ефект наростав
RI ≈ 1
ефект утримався
RI &lt; 1
ефект знижувався</t>
  </si>
  <si>
    <t>Підсумковий інтегральний показник реабілітаційної ефективності</t>
  </si>
  <si>
    <t>Загальний інтегральний біомедичний стан пацієнта</t>
  </si>
  <si>
    <t>Основні складові</t>
  </si>
  <si>
    <t>VAS, NRS, BPI, PCL5, HADS-A, HADS-D, ODI, LEFS</t>
  </si>
  <si>
    <t>CSI, RMSSD, SDNN, LFHF, CRP, StO₂, Perfusion</t>
  </si>
  <si>
    <t>ROM, 6MWT, TUG, Strength, GripStrength, SleepDuration</t>
  </si>
  <si>
    <t>CSI, RMSSD, SDNN, LFHF, ROM, CRP, StO₂</t>
  </si>
  <si>
    <t>Pain + Neuro + ANS + Function + Trophic</t>
  </si>
  <si>
    <t>CREI5–CREI80</t>
  </si>
  <si>
    <t>Якщо лише по початковій та кінцевій зрізах аналізівCREI80 / CREI20</t>
  </si>
  <si>
    <t>LongTerm_CREI × RI</t>
  </si>
  <si>
    <t>CEI + MI + FRI + DMI</t>
  </si>
  <si>
    <t>Σ(weight × score)</t>
  </si>
  <si>
    <t>0.30×Pain + 0.25×Neuro + 0.15×ANS + 0.20×Function + 0.10×Trophic</t>
  </si>
  <si>
    <t>Аналогічно</t>
  </si>
  <si>
    <t>0.10×CREI5 + 0.15×CREI10 + 0.25×CREI20 + 0.25×CREI40 + 0.25×CREI80</t>
  </si>
  <si>
    <t>CREI80 / CREI20, а точніше RI=CREI80/AVERAGE(CREI20;
CREI40)</t>
  </si>
  <si>
    <t>Авторська інтегральна модель</t>
  </si>
  <si>
    <t>Тип показника</t>
  </si>
  <si>
    <t>Clinical Endpoint</t>
  </si>
  <si>
    <t>Mechanistic Endpoint</t>
  </si>
  <si>
    <t>Functional Endpoint</t>
  </si>
  <si>
    <t>Disease-Modifying Endpoint</t>
  </si>
  <si>
    <t>Composite Endpoint</t>
  </si>
  <si>
    <t>Sustainability Endpoint</t>
  </si>
  <si>
    <t>Primary Integrated Endpoint</t>
  </si>
  <si>
    <t>Global Integrated Endpoint</t>
  </si>
  <si>
    <t>Клінічне трактування</t>
  </si>
  <si>
    <t>Клінічна відповідь пацієнта на лікування</t>
  </si>
  <si>
    <t>Підтвердження механістичного впливу терапії</t>
  </si>
  <si>
    <t>Ступінь функціонального відновлення</t>
  </si>
  <si>
    <t>Ознаки модифікації патологічного процесу</t>
  </si>
  <si>
    <t>Ранній клінічний ефект</t>
  </si>
  <si>
    <t>Початкова відповідь на лікування</t>
  </si>
  <si>
    <t>Основний клінічний ефект після курсу</t>
  </si>
  <si>
    <t>Стабілізація ефекту</t>
  </si>
  <si>
    <t>Віддалений результат лікування</t>
  </si>
  <si>
    <t>Узагальнений довготривалий ефект</t>
  </si>
  <si>
    <t>Збереження досягнутого результату</t>
  </si>
  <si>
    <t>Головний інтегральний результат лікування</t>
  </si>
  <si>
    <t>Загальний біомедичний статус</t>
  </si>
  <si>
    <t>Основне клінічне питання</t>
  </si>
  <si>
    <t>Чи стало пацієнтові краще?</t>
  </si>
  <si>
    <t>Чи змінились патофізіологічні механізми?</t>
  </si>
  <si>
    <t>Чи відновилась функція?</t>
  </si>
  <si>
    <t>Чи впливає терапія на патогенез?</t>
  </si>
  <si>
    <t>Чи є швидка відповідь?</t>
  </si>
  <si>
    <t>Чи продовжується покращення?</t>
  </si>
  <si>
    <t>Чи досягнуто терапевтичної мети?</t>
  </si>
  <si>
    <t>Чи зберігається покращення?</t>
  </si>
  <si>
    <t>Чи утримується ефект після лікування?</t>
  </si>
  <si>
    <t>Яка сумарна користь?</t>
  </si>
  <si>
    <t>Наскільки стабільний результат?</t>
  </si>
  <si>
    <t>Яка загальна ефективність системи?</t>
  </si>
  <si>
    <t>Який інтегральний стан пацієнта?</t>
  </si>
  <si>
    <t>Інтерпретація низьких значень</t>
  </si>
  <si>
    <t>Клінічно значущого ефекту немає</t>
  </si>
  <si>
    <t>Механістичні докази відсутні</t>
  </si>
  <si>
    <t>Функціональне відновлення недостатнє</t>
  </si>
  <si>
    <t>Лікування переважно симптоматичне</t>
  </si>
  <si>
    <t>Ефект не сформувався</t>
  </si>
  <si>
    <t>Слабка динаміка</t>
  </si>
  <si>
    <t>Недостатній терапевтичний результат</t>
  </si>
  <si>
    <t>Нестійка відповідь</t>
  </si>
  <si>
    <t>Втрата лікувального ефекту</t>
  </si>
  <si>
    <t>Низька довготривала користь</t>
  </si>
  <si>
    <t>Ефект швидко зникає</t>
  </si>
  <si>
    <t>Реабілітація малоефективна</t>
  </si>
  <si>
    <t>Збережені біомедичні порушення</t>
  </si>
  <si>
    <t>Інтерпретація високих значень</t>
  </si>
  <si>
    <t>Виражене клінічне покращення</t>
  </si>
  <si>
    <t>Наявне механістичне підтвердження</t>
  </si>
  <si>
    <t>Добре функціональне відновлення</t>
  </si>
  <si>
    <t>Ймовірний disease-modifying ефект</t>
  </si>
  <si>
    <t>Раннє швидке покращення</t>
  </si>
  <si>
    <t>Стійка позитивна динаміка</t>
  </si>
  <si>
    <t>Досягнення основної клінічної мети</t>
  </si>
  <si>
    <t>Консолідація результатів</t>
  </si>
  <si>
    <t>Стійкий віддалений ефект</t>
  </si>
  <si>
    <t>Висока довготривала ефективність</t>
  </si>
  <si>
    <t>Результат практично збережений</t>
  </si>
  <si>
    <t>Максимальна інтегральна ефективність</t>
  </si>
  <si>
    <t>Оптимальний біомедичний стан</t>
  </si>
  <si>
    <t>Поріг клінічної значущості</t>
  </si>
  <si>
    <t>≥0.50</t>
  </si>
  <si>
    <t>≥0.70</t>
  </si>
  <si>
    <t>≥0.60</t>
  </si>
  <si>
    <t>≥0.75</t>
  </si>
  <si>
    <t>Межі інтерпретації</t>
  </si>
  <si>
    <t>&lt;0.25 низький; 0.25–0.50 помірний; 0.50–0.70 добрий; &gt;0.70 високий</t>
  </si>
  <si>
    <t>&lt;0.30 відсутні докази; 0.30–0.60 часткові; &gt;0.60 виражені</t>
  </si>
  <si>
    <t>&lt;0.25 низьке; 0.25–0.50 помірне; &gt;0.50 добре</t>
  </si>
  <si>
    <t>&lt;0.40 симптоматичний; 0.40–0.70 частково DM; &gt;0.70 DM</t>
  </si>
  <si>
    <t>&lt;0.25 слабкий; &gt;0.50 хороший</t>
  </si>
  <si>
    <t>аналогічно</t>
  </si>
  <si>
    <t>&lt;0.50 низький; &gt;0.70 високий</t>
  </si>
  <si>
    <t>&lt;0.50 нестійкий; 0.50–0.75 середній; &gt;0.75 добрий; &gt;0.90 відмінний</t>
  </si>
  <si>
    <t>&lt;0.25 неефективно; 0.25–0.50 помірно; 0.50–0.70 добре; 0.70–0.85 високо; &gt;0.85 відмінно</t>
  </si>
  <si>
    <t>&lt;0.40 низький; 0.40–0.70 середній; &gt;0.70 високий</t>
  </si>
  <si>
    <t>Клінічне рішення</t>
  </si>
  <si>
    <t>Продовжити або переглянути лікування</t>
  </si>
  <si>
    <t>Аналіз механізмів відповіді</t>
  </si>
  <si>
    <t>Корекція програми реабілітації</t>
  </si>
  <si>
    <t>Оцінка патогенетичного впливу</t>
  </si>
  <si>
    <t>Моніторинг ранньої відповіді</t>
  </si>
  <si>
    <t>Перевірка ефективності курсу</t>
  </si>
  <si>
    <t>Основна контрольна точка</t>
  </si>
  <si>
    <t>Оцінка стабілізації</t>
  </si>
  <si>
    <t>Основна контрольна точка довгострокового ефекту</t>
  </si>
  <si>
    <t>Загальна оцінка програми</t>
  </si>
  <si>
    <t>Оцінка стійкості результату</t>
  </si>
  <si>
    <t>Остаточний клінічний висновок</t>
  </si>
  <si>
    <t>Загальний біомедичний висновок</t>
  </si>
  <si>
    <t>Використання у MAGNUZ–МУФЛОН</t>
  </si>
  <si>
    <t>Primary Clinical Endpoint</t>
  </si>
  <si>
    <t>Secondary Endpoint</t>
  </si>
  <si>
    <t>Disease Modification Endpoint</t>
  </si>
  <si>
    <t>Interim Endpoint</t>
  </si>
  <si>
    <t>Key Treatment Endpoint</t>
  </si>
  <si>
    <t>Maintenance Endpoint</t>
  </si>
  <si>
    <t>Long-Term Endpoint</t>
  </si>
  <si>
    <t>Sustainability Biomarker</t>
  </si>
  <si>
    <t xml:space="preserve">Primary Integrated Endpoint </t>
  </si>
  <si>
    <t>Global Outcome Endpoint</t>
  </si>
  <si>
    <t>Показник</t>
  </si>
  <si>
    <t>Коефіцієнт</t>
  </si>
  <si>
    <t>Сума</t>
  </si>
  <si>
    <t>=</t>
  </si>
  <si>
    <t>0.35*CEI</t>
  </si>
  <si>
    <t>0.50 × CEI</t>
  </si>
  <si>
    <t>+</t>
  </si>
  <si>
    <t>0.25*MI</t>
  </si>
  <si>
    <t>0.20 × MI</t>
  </si>
  <si>
    <t>0.25*FRI</t>
  </si>
  <si>
    <t>0.15 × FRI</t>
  </si>
  <si>
    <t>0.15*DMI</t>
  </si>
  <si>
    <t>0.15 × DMI</t>
  </si>
  <si>
    <t>РОЗРАХУНОК УСІХ ІНДЕКСІВ — стійкий до повного (48 показників) та експрес (33 показники) обстеження</t>
  </si>
  <si>
    <t>Режим джерела даних:</t>
  </si>
  <si>
    <t>Керується ОДНІЄЮ коміркою C4 на листі «5_Mechanistic» (АВТО / ПОВНЕ / ЕКСПРЕС), щоб механістичний та решта індексів завжди рахувались за одним джерелом. У режимі АВТО показник береться з повного обстеження, а за відсутності — з експрес-обстеження.</t>
  </si>
  <si>
    <t>БЛОК A. РЕЗОЛЬВЕР КОМПОНЕНТІВ — які показники фактично знайдено і з якою вагою вони враховані</t>
  </si>
  <si>
    <t>Індекс</t>
  </si>
  <si>
    <t>Компонент</t>
  </si>
  <si>
    <t>Фактичне джерело</t>
  </si>
  <si>
    <t>Дост.</t>
  </si>
  <si>
    <t>CEI: покриття</t>
  </si>
  <si>
    <t>FRI: покриття</t>
  </si>
  <si>
    <t>DMI: покриття</t>
  </si>
  <si>
    <t>БЛОК B. БАЗОВІ ІНДЕКСИ (CEI, MI, FRI, DMI) за контрольними точками</t>
  </si>
  <si>
    <t>Покриття</t>
  </si>
  <si>
    <t>Достовірність</t>
  </si>
  <si>
    <t>MI береться з листа «5_Mechanistic» (єдине джерело істини — там уже враховано ROM і перенормування). Решта — з Блоку A.</t>
  </si>
  <si>
    <t>БЛОК C. ДОМЕННІ БАЛИ ТА КОМПОЗИТНИЙ ІНДЕКС CREI</t>
  </si>
  <si>
    <t>Вага в CREI</t>
  </si>
  <si>
    <t>Показників у домені</t>
  </si>
  <si>
    <t>формула рядка 8 цього листа</t>
  </si>
  <si>
    <t>БЛОК D. ПІДСУМКОВІ ТА ДОВГОСТРОКОВІ ІНДЕКСИ</t>
  </si>
  <si>
    <t>Значення</t>
  </si>
  <si>
    <t>Формула, що застосована</t>
  </si>
  <si>
    <t>Поріг</t>
  </si>
  <si>
    <t>Виконання порогу</t>
  </si>
  <si>
    <t>0,10×CREI5 + 0,15×CREI10 + 0,25×CREI20 + 0,25×CREI40 + 0,25×CREI80</t>
  </si>
  <si>
    <t>CREI80 / СЕРЕДНЄ(CREI20; CREI40)</t>
  </si>
  <si>
    <t>0,50×CEI + 0,20×MI + 0,15×FRI + 0,15×DMI  (за рядком 61–67 цього листа)</t>
  </si>
  <si>
    <t>0,35×CEI + 0,25×MI + 0,25×FRI + 0,15×DMI  (за рядком 60–66 цього листа)</t>
  </si>
  <si>
    <t>ILREI та IBI розраховано на значеннях Day80 базових індексів (кінцева контрольна точка). Увага: на листі «7_Final» ILREI визначено інакше — як LongTerm_CREI × RI. Обидва визначення збережено; звірте, яке з них є основним для вашого протоколу.</t>
  </si>
  <si>
    <t>БЛОК E. ЗВЕДЕНА ПАНЕЛЬ ДЛЯ ЛІКАРЯ — усі індекси з довідковими назвами, порогами та трактуванням</t>
  </si>
  <si>
    <t>Код</t>
  </si>
  <si>
    <t>English name</t>
  </si>
  <si>
    <t>ПРИМІТКИ</t>
  </si>
  <si>
    <t>Що виправлено</t>
  </si>
  <si>
    <t>Попередні формули (рядки 70–74) звертались ЛИШЕ до листа 3 і не мали обробки помилок: за відсутності будь-якого показника функція MATCH повертала помилку «немає значення», і весь індекс переставав рахуватися. Тепер кожен компонент резолвиться з повного АБО експрес-обстеження, а відсутні компоненти виключаються з перенормуванням ваг.</t>
  </si>
  <si>
    <t>Перенормування</t>
  </si>
  <si>
    <t>Ефективна вага = задана вага ÷ сума заданих ваг ЛИШЕ наявних компонентів (у межах свого індексу). Тому індекс не занижується штучно через незроблені обстеження, а стовпець «Покриття» показує, яку частку вагового обсягу фактично забезпечено.</t>
  </si>
  <si>
    <t>Ваги — де редагувати</t>
  </si>
  <si>
    <t>Задані ваги залишились у ваших власних блоках вище: CEI — C30:C37, DMI — F19:F26, FRI — E41:E46, MI — на листі «5_Mechanistic». Ваги доменів CREI — жовті комірки Блоку C. Резольвер лише посилається на них, тож калібрування зберігається в одному місці.</t>
  </si>
  <si>
    <t>Виправлення даних</t>
  </si>
  <si>
    <t>На листі «1_Input_5_обстежень_» вагові коефіцієнти (стовпець N) зберігались як ТЕКСТ у 25 з 33 рядків, через що доменні розрахунки в експрес-режимі були неможливі. Перетворено на числа.</t>
  </si>
  <si>
    <t>Обмеження експрес-обстеження</t>
  </si>
  <si>
    <t>У скороченому наборі (33 показники) відсутні SleepDuration і GripStrength, тож FRI в режимі ЕКСПРЕС рахується за 5 з 6 компонентів (покриття 90%). Домени Digital і Lab у скороченому обстеженні не представлені — на CREI це не впливає, бо його формула на цьому листі використовує п’ять основних доменів.</t>
  </si>
  <si>
    <t>Індекси не замінюють клінічного судження. За покриття нижче 60% показник позначається як «Недостатньо даних» і не може бути самостійною підставою для рішення.</t>
  </si>
  <si>
    <t>Українське пояснення</t>
  </si>
  <si>
    <t>коеф</t>
  </si>
  <si>
    <t>Metric</t>
  </si>
  <si>
    <t>Value</t>
  </si>
  <si>
    <t>Больовий домен</t>
  </si>
  <si>
    <t>CREI_Day5</t>
  </si>
  <si>
    <t>Інтегральна ефективність на 5 добу</t>
  </si>
  <si>
    <t>Ноципластика та психоневрологія</t>
  </si>
  <si>
    <t>CREI_Day10</t>
  </si>
  <si>
    <t>Інтегральна ефективність на 10 добу</t>
  </si>
  <si>
    <t>Автономна нервова система</t>
  </si>
  <si>
    <t>CREI_Day20</t>
  </si>
  <si>
    <t>Інтегральна ефективність на 20 добу</t>
  </si>
  <si>
    <t>Функціональне відновлення</t>
  </si>
  <si>
    <t>CREI_Day40</t>
  </si>
  <si>
    <t>Інтегральна ефективність на 40 добу</t>
  </si>
  <si>
    <t>Трофіка і регенерація</t>
  </si>
  <si>
    <t>CREI_Day80</t>
  </si>
  <si>
    <t>Інтегральна ефективність на 80 добу</t>
  </si>
  <si>
    <t>Цифровий моніторинг (сон, активність)</t>
  </si>
  <si>
    <t>Лабораторні біомаркери</t>
  </si>
  <si>
    <t>Retention_Index</t>
  </si>
  <si>
    <t>Ступінь утримання ефекту (Day80 відносно плато Day20–Day40)</t>
  </si>
  <si>
    <t>Фінальний інтегральний довгостроковий індекс реабілітаційної ефективності</t>
  </si>
  <si>
    <t>Механістичний індекс (довгостроковий) — лист «5_Mechanistic»</t>
  </si>
  <si>
    <t>Утримання механістичного ефекту</t>
  </si>
  <si>
    <t>MI_Покриття</t>
  </si>
  <si>
    <t>Частка вагового обсягу механістичних маркерів, покрита фактичним обстеженням</t>
  </si>
  <si>
    <t>Механістичний індекс має найвищу доказову вагу серед розрахункових показників ядра і обчислюється незалежно від того, повне чи скорочене обстеження було виконано.</t>
  </si>
  <si>
    <t>Рівень доказовості</t>
  </si>
  <si>
    <t>ELF</t>
  </si>
  <si>
    <t>Patient Raw Data</t>
  </si>
  <si>
    <t>FDA / EMA / IMMPACT Endpoint</t>
  </si>
  <si>
    <t>1.00</t>
  </si>
  <si>
    <t>⚠ Ці дві діаграми перебудовано: попередні були прив’язані до ЗОВНІШНЬОГО файлу (Visual_Analytics), якого немає в цій книзі, тому показували застиглі дані й не оновлювались. Тепер вони беруть значення з цього ж листа і перераховуються автоматично.</t>
  </si>
  <si>
    <t>Parameter Scores</t>
  </si>
  <si>
    <t>Валідований біомаркер</t>
  </si>
  <si>
    <t>0.85</t>
  </si>
  <si>
    <t>0.70</t>
  </si>
  <si>
    <t>Domain Scores</t>
  </si>
  <si>
    <t>Авторський показник</t>
  </si>
  <si>
    <t>0.50</t>
  </si>
  <si>
    <t>Score</t>
  </si>
  <si>
    <t>SUMPRODUCT(</t>
  </si>
  <si>
    <t>Pain_S5,</t>
  </si>
  <si>
    <t>Pain_NormalizedWeights</t>
  </si>
  <si>
    <t>)</t>
  </si>
  <si>
    <t>Дослідження груп пацієнтів з АПК МАГНУЗ-МУФЛОН</t>
  </si>
  <si>
    <t>Group</t>
  </si>
  <si>
    <t>LF_HF</t>
  </si>
  <si>
    <t>L1</t>
  </si>
  <si>
    <t>L2</t>
  </si>
  <si>
    <t>L3</t>
  </si>
  <si>
    <t>S</t>
  </si>
  <si>
    <t>№</t>
  </si>
  <si>
    <t>Повна назва</t>
  </si>
  <si>
    <t>На основі чого визначається</t>
  </si>
  <si>
    <t>Як вимірюється</t>
  </si>
  <si>
    <t>Одиниці</t>
  </si>
  <si>
    <t>Нормативна база / рекомендація</t>
  </si>
  <si>
    <t>РЕКОМЕНДОВАНЕ ОБЛАДНАННЯ / ІНСТРУМЕНТ ВИМІРЮВАННЯ</t>
  </si>
  <si>
    <t>ОПИТУВАЛЬНИК / ФОРМУЛА РОЗРАХУНКУ (першоджерело)</t>
  </si>
  <si>
    <t>СТАНДАРТ, ЩО РЕГЛАМЕНТУЄ / ЛІЦЕНЗІЯ</t>
  </si>
  <si>
    <t>Інтенсивність болю</t>
  </si>
  <si>
    <t>Самооцінка</t>
  </si>
  <si>
    <t>10-см шкала</t>
  </si>
  <si>
    <t>0-10 балів</t>
  </si>
  <si>
    <t>Клінічна шкала</t>
  </si>
  <si>
    <t>IMMPACT</t>
  </si>
  <si>
    <t>ВАШ-лінійка 100 мм (паперова або цифрова); валідований слайдер у планшеті. Окремий прилад не потрібен — вимірюється лінійкою від лівого краю.</t>
  </si>
  <si>
    <t>Huskisson E.C. (1974). Measurement of pain. Lancet, 2(7889), 1127–1131. Оцінка = відстань у мм від лівого краю / 10.</t>
  </si>
  <si>
    <t>IMMPACT: Dworkin R.H. et al. (2008). J Pain, 9(2), 105–121. Вільне використання.</t>
  </si>
  <si>
    <t>Опитування</t>
  </si>
  <si>
    <t>Приладу не потребує: усне опитування або картка 0–10.</t>
  </si>
  <si>
    <t>Farrar J.T. et al. (2001). Pain, 94(2), 149–158 — зниження ≥30% = клінічно значуще.</t>
  </si>
  <si>
    <t>IMMPACT (Dworkin et al., 2008). Вільне використання.</t>
  </si>
  <si>
    <t>Центральна сенситизація</t>
  </si>
  <si>
    <t>25 питань</t>
  </si>
  <si>
    <t>Анкета</t>
  </si>
  <si>
    <t>0-100 балів</t>
  </si>
  <si>
    <t>Опитувальник</t>
  </si>
  <si>
    <t>Mayer 2012</t>
  </si>
  <si>
    <t>Приладу не потребує: бланк частини A (25 пунктів).</t>
  </si>
  <si>
    <t>Mayer T.G. et al. (2012). Pain Pract, 12(4), 276–285; Neblett R. et al. (2013). J Pain, 14(5), 438–445 — поріг ≥40 балів.</t>
  </si>
  <si>
    <t>Валідований опитувальник; вільний для клінічного використання.</t>
  </si>
  <si>
    <t>Нейропатичний біль</t>
  </si>
  <si>
    <t>Симптоми</t>
  </si>
  <si>
    <t>бали</t>
  </si>
  <si>
    <t>Для частини огляду: пензлик (тактильна проба) та калібрована голка/монофіламент.</t>
  </si>
  <si>
    <t>Bouhassira D. et al. (2005). Pain, 114(1–2), 29–36. Поріг ≥4/10 — нейропатичний компонент.</t>
  </si>
  <si>
    <t>Вільний для клінічного використання (з посиланням на автора).</t>
  </si>
  <si>
    <t>Нейропатичний компонент</t>
  </si>
  <si>
    <t>Приладу не потребує: бланк опитувальника.</t>
  </si>
  <si>
    <t>Freynhagen R. et al. (2006). Curr Med Res Opin, 22(10), 1911–1920. &gt;18 балів — ймовірний нейропатичний біль; 13–18 — невизначено.</t>
  </si>
  <si>
    <t>Ліцензія правовласника; надається безкоштовно за реєстрацією.</t>
  </si>
  <si>
    <t>Структура болю</t>
  </si>
  <si>
    <t>Bouhassira D. et al. (2004). Pain, 108(3), 248–257. 10 пунктів, 5 субшкал.</t>
  </si>
  <si>
    <t>Ліцензування через Mapi Research Trust / ePROVIDE.</t>
  </si>
  <si>
    <t>Вплив болю</t>
  </si>
  <si>
    <t>Приладу не потребує: бланк (коротка або повна форма).</t>
  </si>
  <si>
    <t>Cleeland C.S., Ryan K.M. (1994). Ann Acad Med Singapore, 23(2), 129–138. Субшкали: інтенсивність (4 пункти) та інтерференція (7 пунктів).</t>
  </si>
  <si>
    <t>Ліцензія MD Anderson Cancer Center — безкоштовно за запитом.</t>
  </si>
  <si>
    <t>Інвалідизація</t>
  </si>
  <si>
    <t>%</t>
  </si>
  <si>
    <t>Функціональна шкала</t>
  </si>
  <si>
    <t>ODI 2.1a</t>
  </si>
  <si>
    <t>Приладу не потребує: бланк версії 2.1a.</t>
  </si>
  <si>
    <t>Fairbank J.C.T., Pynsent P.B. (2000). Spine, 25(22), 2940–2952. Індекс = (сума балів / 50) × 100%.</t>
  </si>
  <si>
    <t>Ліцензування через Mapi Research Trust. Версія 2.1a — офіційна.</t>
  </si>
  <si>
    <t>Приладу не потребує: бланк (20 пунктів).</t>
  </si>
  <si>
    <t>Binkley J.M. et al. (1999). Phys Ther, 79(4), 371–383. Максимум 80 балів; MCID ≈ 9.</t>
  </si>
  <si>
    <t>Вільний для клінічного використання.</t>
  </si>
  <si>
    <t>QuickDASH</t>
  </si>
  <si>
    <t>Disabilities of Arm Shoulder Hand</t>
  </si>
  <si>
    <t>Функція верхньої кінцівки</t>
  </si>
  <si>
    <t>Приладу не потребує: бланк (11 пунктів).</t>
  </si>
  <si>
    <t>Beaton D.E. et al. (2005). J Bone Joint Surg Am, 87(5), 1038–1046. Бал = [(сума/n) − 1] × 25. Потрібно ≥10 з 11 відповідей.</t>
  </si>
  <si>
    <t>Institute for Work &amp; Health — безкоштовно за реєстрацією.</t>
  </si>
  <si>
    <t>EuroQol EQ-5D</t>
  </si>
  <si>
    <t>індекс</t>
  </si>
  <si>
    <t>QoL</t>
  </si>
  <si>
    <t>EuroQol</t>
  </si>
  <si>
    <t>Приладу не потребує: бланк EQ-5D-5L (5 вимірів).</t>
  </si>
  <si>
    <t>EuroQol Group (1990). Health Policy, 16(3), 199–208. Індекс корисності розраховується за value set для конкретної країни.</t>
  </si>
  <si>
    <t>EuroQol Research Foundation — ОБОВ'ЯЗКОВА реєстрація ліцензії до використання.</t>
  </si>
  <si>
    <t>EQ-VAS</t>
  </si>
  <si>
    <t>EuroQol VAS</t>
  </si>
  <si>
    <t>Самооцінка здоров’я</t>
  </si>
  <si>
    <t>ВАШ</t>
  </si>
  <si>
    <t>0-100</t>
  </si>
  <si>
    <t>Візуальна шкала-«термометр» 0–100 на бланку EQ-5D.</t>
  </si>
  <si>
    <t>EuroQol Group — самооцінка загального стану здоров'я «сьогодні».</t>
  </si>
  <si>
    <t>EuroQol Research Foundation — та сама ліцензія, що й EQ-5D.</t>
  </si>
  <si>
    <t>SF36-PCS</t>
  </si>
  <si>
    <t>Physical Component</t>
  </si>
  <si>
    <t>Фізичне здоров’я</t>
  </si>
  <si>
    <t>Приладу не потребує: бланк SF-36 v2 (36 пунктів).</t>
  </si>
  <si>
    <t>Ware J.E., Sherbourne C.D. (1992). Med Care, 30(6), 473–483. PCS — norm-based scoring (середнє 50, SD 10).</t>
  </si>
  <si>
    <t>Ліцензія Optum/QualityMetric — ПЛАТНА для більшості застосувань.</t>
  </si>
  <si>
    <t>SF36-MCS</t>
  </si>
  <si>
    <t>Mental Component</t>
  </si>
  <si>
    <t>Психічне здоров’я</t>
  </si>
  <si>
    <t>Приладу не потребує: бланк SF-36 v2.</t>
  </si>
  <si>
    <t>Ware J.E., Kosinski M. — Mental Component Summary, norm-based scoring.</t>
  </si>
  <si>
    <t>Ліцензія Optum/QualityMetric — ПЛАТНА.</t>
  </si>
  <si>
    <t>Anxiety</t>
  </si>
  <si>
    <t>HADS</t>
  </si>
  <si>
    <t>Психометрія</t>
  </si>
  <si>
    <t>Приладу не потребує: бланк HADS (7 пунктів підшкали тривоги).</t>
  </si>
  <si>
    <t>Zigmond A.S., Snaith R.P. (1983). Acta Psychiatr Scand, 67(6), 361–370. 0–7 норма; 8–10 межово; ≥11 клінічно значуще.</t>
  </si>
  <si>
    <t>Ліцензія GL Assessment — ПЛАТНА для інституційного використання.</t>
  </si>
  <si>
    <t>Depression</t>
  </si>
  <si>
    <t>Приладу не потребує: бланк HADS (7 пунктів підшкали депресії).</t>
  </si>
  <si>
    <t>Zigmond &amp; Snaith (1983). Ті самі порогові значення (≥11).</t>
  </si>
  <si>
    <t>Ліцензія GL Assessment — ПЛАТНА.</t>
  </si>
  <si>
    <t>Катастрофізація</t>
  </si>
  <si>
    <t>Приладу не потребує: бланк (13 пунктів).</t>
  </si>
  <si>
    <t>Sullivan M.J.L. et al. (1995). Psychol Assess, 7(4), 524–532. Субшкали: румінація, магніфікація, безпорадність. ≥30 — клінічно значуще.</t>
  </si>
  <si>
    <t>Вільний для некомерційного клінічного використання.</t>
  </si>
  <si>
    <t>Sleep Quality Index</t>
  </si>
  <si>
    <t>Приладу не потребує: бланк (19 самооцінних пунктів, 7 компонентів).</t>
  </si>
  <si>
    <t>Buysse D.J. et al. (1989). Psychiatry Res, 28(2), 193–213. Глобальний бал 0–21; &gt;5 — погана якість сну.</t>
  </si>
  <si>
    <t>Вільний для некомерційного використання (University of Pittsburgh).</t>
  </si>
  <si>
    <t>Стрес</t>
  </si>
  <si>
    <t>Приладу не потребує: бланк PSS-10 або PSS-14.</t>
  </si>
  <si>
    <t>Cohen S., Kamarck T., Mermelstein R. (1983). J Health Soc Behav, 24(4), 385–396.</t>
  </si>
  <si>
    <t>Вільний для дослідницького й клінічного використання.</t>
  </si>
  <si>
    <t>Приладу не потребує: бланк (9 пунктів, шкала 1–7).</t>
  </si>
  <si>
    <t>Krupp L.B. et al. (1989). Arch Neurol, 46(10), 1121–1123. Середній бал ≥4 — клінічно значуща втома.</t>
  </si>
  <si>
    <t>PTSD Checklist</t>
  </si>
  <si>
    <t>Тяжкість ПТСР</t>
  </si>
  <si>
    <t>DSM-5</t>
  </si>
  <si>
    <t>Приладу не потребує: бланк (20 пунктів за критеріями DSM-5).</t>
  </si>
  <si>
    <t>Weathers F.W. et al. (2013). National Center for PTSD. Орієнтовний поріг 31–33 бали; діагноз ставить лише клініцист (бажано CAPS-5).</t>
  </si>
  <si>
    <t>DSM-5 (APA, 2013). Вільний; для держслужбовців/клініцистів США — без обмежень.</t>
  </si>
  <si>
    <t>Когніція</t>
  </si>
  <si>
    <t>Тести</t>
  </si>
  <si>
    <t>Нейропсихологія</t>
  </si>
  <si>
    <t>Приладу не потребує: офіційний бланк + олівець, секундомір.</t>
  </si>
  <si>
    <t>Nasreddine Z.S. et al. (2005). J Am Geriatr Soc, 53(4), 695–699. Поріг &lt;26/30; +1 бал за освіту ≤12 років.</t>
  </si>
  <si>
    <t>⚠ ОБОВ'ЯЗКОВА сертифікація користувача з 01.09.2020 (mocacognition.com). Доступ до тесту лише для сертифікованих осіб.</t>
  </si>
  <si>
    <t>Mini Mental State Exam</t>
  </si>
  <si>
    <t>Приладу не потребує: офіційний бланк, годинник, олівець, папір.</t>
  </si>
  <si>
    <t>Folstein M.F. et al. (1975). J Psychiatr Res, 12(3), 189–198. Поріг &lt;24/30.</t>
  </si>
  <si>
    <t>Ліцензія PAR Inc. — ПЛАТНА (авторські права з 2001 р.).</t>
  </si>
  <si>
    <t>Вегетативний статус</t>
  </si>
  <si>
    <t>Пульс</t>
  </si>
  <si>
    <t>ЕКГ/монітор</t>
  </si>
  <si>
    <t>уд/хв</t>
  </si>
  <si>
    <t>Фізіологія</t>
  </si>
  <si>
    <t>ESC</t>
  </si>
  <si>
    <t>Кардіомонітор або 12-канальний ЕКГ; допустимий валідований пульсоксиметр чи нагрудний ремінь (напр., Polar H10) для тривалого моніторингу.</t>
  </si>
  <si>
    <t>Пряме вимірювання інтервалів RR.</t>
  </si>
  <si>
    <t>IEC 60601-2-27 (моніторні ЕКГ); IEC 60601-2-25 (діагностичні ЕКГ).</t>
  </si>
  <si>
    <t>АНС</t>
  </si>
  <si>
    <t>RR інтервали</t>
  </si>
  <si>
    <t>ЕКГ</t>
  </si>
  <si>
    <t>мс</t>
  </si>
  <si>
    <t>Біомаркер</t>
  </si>
  <si>
    <t>ESC/NASPE</t>
  </si>
  <si>
    <t>ЕКГ з частотою дискретизації ≥500 Гц (вимога Інструкції, Розділ 4.5) або валідований нагрудний ремінь з R-R виходом. Запис 5 хв (short-term) або 24 год.</t>
  </si>
  <si>
    <t>Похідна від послідовності інтервалів NN після видалення артефактів та ектопій.</t>
  </si>
  <si>
    <t>Task Force ESC/NASPE (1996). Circulation, 93(5), 1043–1065 — базовий стандарт вимірювання й інтерпретації ВСР.</t>
  </si>
  <si>
    <t>Root Mean Square SD</t>
  </si>
  <si>
    <t>Той самий запис ЕКГ/R-R; мінімум 5 хв стабільного запису.</t>
  </si>
  <si>
    <t>RMSSD = √(середнє квадратів різниць сусідніх NN). Маркер парасимпатичної активності.</t>
  </si>
  <si>
    <t>Task Force ESC/NASPE (1996), Circulation, 93(5), 1043–1065.</t>
  </si>
  <si>
    <t>Standard Deviation NN</t>
  </si>
  <si>
    <t>Загальна варіабельність</t>
  </si>
  <si>
    <t>Той самий запис; для коректної добової оцінки — холтерівський моніторинг 24 год.</t>
  </si>
  <si>
    <t>SDNN = стандартне відхилення всіх інтервалів NN. Залежить від тривалості запису — порівнювати лише записи однакової тривалості.</t>
  </si>
  <si>
    <t>Task Force ESC/NASPE (1996); IEC 60601-2-47 (амбулаторні ЕКГ-системи).</t>
  </si>
  <si>
    <t>Low Frequency</t>
  </si>
  <si>
    <t>Спектр HRV</t>
  </si>
  <si>
    <t>FFT</t>
  </si>
  <si>
    <t>мс²</t>
  </si>
  <si>
    <t>Той самий запис; спектральний аналіз у ПЗ приладу.</t>
  </si>
  <si>
    <t>Потужність у діапазоні 0,04–0,15 Гц (FFT або авторегресійна модель).</t>
  </si>
  <si>
    <t>Task Force ESC/NASPE (1996).</t>
  </si>
  <si>
    <t>High Frequency</t>
  </si>
  <si>
    <t>Вагусна активність</t>
  </si>
  <si>
    <t>Той самий запис; контроль частоти дихання (впливає на HF).</t>
  </si>
  <si>
    <t>Потужність у діапазоні 0,15–0,40 Гц.</t>
  </si>
  <si>
    <t>LF to HF ratio</t>
  </si>
  <si>
    <t>Баланс АНС</t>
  </si>
  <si>
    <t>відн.од.</t>
  </si>
  <si>
    <t>Розрахунок у ПЗ на основі спектра.</t>
  </si>
  <si>
    <t>Відношення LF до HF. ⚠ Трактування як «симпато-вагального балансу» дискусійне — інтерпретувати лише в динаміці одного пацієнта за однакових умов запису.</t>
  </si>
  <si>
    <t>Task Force ESC/NASPE (1996); критичний огляд: Billman G.E. (2013), Front Physiol.</t>
  </si>
  <si>
    <t>SpO2</t>
  </si>
  <si>
    <t>Oxygen Saturation</t>
  </si>
  <si>
    <t>Оксигенація</t>
  </si>
  <si>
    <t>Пульсоксиметрія</t>
  </si>
  <si>
    <t>Пульсоксиметр</t>
  </si>
  <si>
    <t>ISO 80601</t>
  </si>
  <si>
    <t>Пульсоксиметр медичного класу з клінічною валідацією (не побутовий/фітнес-гаджет).</t>
  </si>
  <si>
    <t>Двохвильова спектрофотометрія (660 і 940 нм).</t>
  </si>
  <si>
    <t>ISO 80601-2-61 — вимоги до безпеки й точності пульсових оксиметрів.</t>
  </si>
  <si>
    <t>PI</t>
  </si>
  <si>
    <t>Перфузія</t>
  </si>
  <si>
    <t>Плетизмографія</t>
  </si>
  <si>
    <t>Виробник</t>
  </si>
  <si>
    <t>Той самий пульсоксиметр (за наявності функції Perfusion Index).</t>
  </si>
  <si>
    <t>Відношення пульсуючої до непульсуючої складової сигналу фотоплетизмограми.</t>
  </si>
  <si>
    <t>Міжнародного стандарту немає — специфікація виробника; порівнювати лише вимірювання одним приладом.</t>
  </si>
  <si>
    <t>Systolic BP</t>
  </si>
  <si>
    <t>Гемодинаміка</t>
  </si>
  <si>
    <t>АТ</t>
  </si>
  <si>
    <t>Тонометр</t>
  </si>
  <si>
    <t>мм рт.ст.</t>
  </si>
  <si>
    <t>ESC/ESH</t>
  </si>
  <si>
    <t>Автоматичний осцилометричний тонометр, що ПРОЙШОВ клінічну валідацію; манжета за обводом плеча пацієнта (найчастіша причина похибки).</t>
  </si>
  <si>
    <t>Пряме вимірювання після 5 хв спокою, 2–3 виміри з інтервалом 1–2 хв.</t>
  </si>
  <si>
    <t>ISO 81060-2 (клінічна валідація); AAMI/ESH/ISO Universal Standard (Stergiou, 2018); настанови ESC/ESH.</t>
  </si>
  <si>
    <t>Diastolic BP</t>
  </si>
  <si>
    <t>Той самий валідований тонометр і манжета відповідного розміру.</t>
  </si>
  <si>
    <t>Пряме вимірювання (осцилометрія або аускультація за Коротковим).</t>
  </si>
  <si>
    <t>ISO 81060-2; AAMI/ESH/ISO Universal Standard; настанови ESC/ESH.</t>
  </si>
  <si>
    <t>RR</t>
  </si>
  <si>
    <t>Respiratory Rate</t>
  </si>
  <si>
    <t>Дихання</t>
  </si>
  <si>
    <t>Підрахунок</t>
  </si>
  <si>
    <t>Монітор</t>
  </si>
  <si>
    <t>вдихів/хв</t>
  </si>
  <si>
    <t>Клінстандарт</t>
  </si>
  <si>
    <t>Візуальний підрахунок за 60 с (референс), капнограф або монітор пацієнта з респіраторним каналом.</t>
  </si>
  <si>
    <t>Кількість дихальних циклів за хвилину; рахувати непомітно для пацієнта.</t>
  </si>
  <si>
    <t>Клінічний стандарт; IEC 60601-2-49 (багатофункційні монітори).</t>
  </si>
  <si>
    <t>Temp</t>
  </si>
  <si>
    <t>Body Temperature</t>
  </si>
  <si>
    <t>Запалення</t>
  </si>
  <si>
    <t>Термометрія</t>
  </si>
  <si>
    <t>Термометр</t>
  </si>
  <si>
    <t>°C</t>
  </si>
  <si>
    <t>Електронний або інфрачервоний клінічний термометр; для порівнянності — завжди той самий спосіб вимірювання (аксилярний / тимпанальний / оральний).</t>
  </si>
  <si>
    <t>Пряме вимірювання.</t>
  </si>
  <si>
    <t>ISO 80601-2-56 — вимоги до клінічних термометрів.</t>
  </si>
  <si>
    <t>CBC</t>
  </si>
  <si>
    <t>Complete Blood Count Index</t>
  </si>
  <si>
    <t>Лабораторія</t>
  </si>
  <si>
    <t>Гематоаналізатор</t>
  </si>
  <si>
    <t>ISO15189</t>
  </si>
  <si>
    <t>Автоматичний гематологічний аналізатор (напр., Sysmex XN, Beckman DxH); мазок і мікроскопія — за наявності флагів приладу.</t>
  </si>
  <si>
    <t>Індекс формується з абсолютних показників ЗАК (лейкоцити, нейтрофіли, лімфоцити, тромбоцити); похідні співвідношення (NLR, PLR) — розрахункові.</t>
  </si>
  <si>
    <t>ISO 15189 (компетентність медичних лабораторій); рекомендації ICSH.</t>
  </si>
  <si>
    <t>C-reactive protein</t>
  </si>
  <si>
    <t>Біохімія</t>
  </si>
  <si>
    <t>Аналізатор</t>
  </si>
  <si>
    <t>мг/л</t>
  </si>
  <si>
    <t>Біохімічний / імунотурбідиметричний аналізатор. Для оцінки низькорівневого запалення потрібен hs-CRP (високочутливий метод).</t>
  </si>
  <si>
    <t>Пряме кількісне визначення (імунотурбідиметрія / нефелометрія).</t>
  </si>
  <si>
    <t>ISO 15189; стандартизація за референсним матеріалом IFCC / ERM-DA474.</t>
  </si>
  <si>
    <t>Аналіз</t>
  </si>
  <si>
    <t>мм/год</t>
  </si>
  <si>
    <t>Автоматичний аналізатор ШОЕ або класичний метод Вестергрена (референсний).</t>
  </si>
  <si>
    <t>Пряме вимірювання седиментації за 1 год.</t>
  </si>
  <si>
    <t>ICSH (рекомендації щодо вимірювання ШОЕ); CLSI H02; ISO 15189.</t>
  </si>
  <si>
    <t>Biochemical Index</t>
  </si>
  <si>
    <t>Метаболізм</t>
  </si>
  <si>
    <t>Автоматичний біохімічний аналізатор з внутрішнім і зовнішнім контролем якості.</t>
  </si>
  <si>
    <t>Композитний індекс формується з панелі показників (АЛТ, АСТ, креатинін, глюкоза тощо) — склад панелі та ваги фіксуються в SOP лабораторії.</t>
  </si>
  <si>
    <t>ISO 15189; референсні методи IFCC.</t>
  </si>
  <si>
    <t>Urinalysis Index</t>
  </si>
  <si>
    <t>Ниркова функція</t>
  </si>
  <si>
    <t>ЗАС</t>
  </si>
  <si>
    <t>Автоматичний аналізатор сечі (тест-смужки) + мікроскопія осаду за наявності патологічних знахідок.</t>
  </si>
  <si>
    <t>Композитний індекс за результатами загального аналізу сечі.</t>
  </si>
  <si>
    <t>ISO 15189; European Urinalysis Guideline (EFLM/UEMS).</t>
  </si>
  <si>
    <t>UrinePhoto</t>
  </si>
  <si>
    <t>Urine Photometry</t>
  </si>
  <si>
    <t>Фотометрія</t>
  </si>
  <si>
    <t>Фотометричний зчитувач тест-смужок (виключає суб'єктивність візуального читання).</t>
  </si>
  <si>
    <t>Відбивна фотометрія тест-зон смужки.</t>
  </si>
  <si>
    <t>ISO 15189; специфікація виробника смужок.</t>
  </si>
  <si>
    <t>Local Tissue Temperature</t>
  </si>
  <si>
    <t>Термографія</t>
  </si>
  <si>
    <t>Тепловізор</t>
  </si>
  <si>
    <t>Трофіка</t>
  </si>
  <si>
    <t>Медична термографія</t>
  </si>
  <si>
    <t>Медичний інфрачервоний тепловізор (не будівельний!); стабілізація пацієнта 15–20 хв у приміщенні з контрольованою температурою.</t>
  </si>
  <si>
    <t>Пряме безконтактне вимірювання поверхневої температури; аналізується ЛІВО-ПРАВА асиметрія (ΔT), а не абсолютне значення.</t>
  </si>
  <si>
    <t>IEC 80601-2-59 (скринінгові термографи); настанови європейських товариств термології.</t>
  </si>
  <si>
    <t>ЛДФ</t>
  </si>
  <si>
    <t>PU</t>
  </si>
  <si>
    <t>Мікроциркуляція</t>
  </si>
  <si>
    <t>Laser Doppler</t>
  </si>
  <si>
    <t>Лазерний допплерівський флоуметр (напр., Perimed PeriFlux, Moor moorVMS-LDF).</t>
  </si>
  <si>
    <t>Допплерівський зсув частоти від рухомих еритроцитів.</t>
  </si>
  <si>
    <t>⚠ Одиниці PU — умовні (не SI), залежать від приладу. Порівнювати лише вимірювання одним приладом. Консенсус: Cracowski &amp; Roustit (Microvasc Res).</t>
  </si>
  <si>
    <t>NIRS</t>
  </si>
  <si>
    <t>NIRS-оксиметр тканинної оксигенації (напр., Artinis PortaMon, Moxy, INVOS).</t>
  </si>
  <si>
    <t>Спектроскопія в ближній ІЧ-ділянці; співвідношення окси-/дезоксигемоглобіну.</t>
  </si>
  <si>
    <t>Єдиного міжнародного стандарту немає — специфікація виробника; порівнювати лише вимірювання одним приладом і в тій самій точці.</t>
  </si>
  <si>
    <t>Tissue Bioimpedance</t>
  </si>
  <si>
    <t>Набряк/гідратація</t>
  </si>
  <si>
    <t>Імпеданс</t>
  </si>
  <si>
    <t>БІА</t>
  </si>
  <si>
    <t>Ом</t>
  </si>
  <si>
    <t>Біофізика</t>
  </si>
  <si>
    <t>BIA guide</t>
  </si>
  <si>
    <t>Багаточастотний біоімпедансний аналізатор 5 кГц – 1 МГц (вимога Інструкції); стандартизовані умови: натще, після 5 хв у положенні лежачи.</t>
  </si>
  <si>
    <t>Вимірювання опору (R) і реактансу (Xc) при заданій частоті.</t>
  </si>
  <si>
    <t>Настанови ESPEN щодо БІА (Kyle U.G. et al., 2004, Clin Nutr).</t>
  </si>
  <si>
    <t>EMG Amp</t>
  </si>
  <si>
    <t>EMG Amplitude</t>
  </si>
  <si>
    <t>Активність м’язів</t>
  </si>
  <si>
    <t>ЕМГ</t>
  </si>
  <si>
    <t>мкВ</t>
  </si>
  <si>
    <t>Нейром’язовий</t>
  </si>
  <si>
    <t>SENIAM</t>
  </si>
  <si>
    <t>Система поверхневої ЕМГ (напр., Delsys Trigno, Noraxon); підготовка шкіри й стандартне розташування електродів.</t>
  </si>
  <si>
    <t>RMS- або середньовипрямлена амплітуда сигналу; для порівнянності — нормалізація до MVC.</t>
  </si>
  <si>
    <t>SENIAM (рекомендації щодо розташування електродів); стандарти ISEK щодо звітування.</t>
  </si>
  <si>
    <t>EMG Freq</t>
  </si>
  <si>
    <t>EMG Frequency</t>
  </si>
  <si>
    <t>Нейром’язова функція</t>
  </si>
  <si>
    <t>EMG спектр</t>
  </si>
  <si>
    <t>Гц</t>
  </si>
  <si>
    <t>Та сама система поверхневої ЕМГ з частотою дискретизації ≥1000 Гц.</t>
  </si>
  <si>
    <t>Медіанна/середня частота спектра потужності — маркер м'язової втоми.</t>
  </si>
  <si>
    <t>SENIAM; стандарти ISEK.</t>
  </si>
  <si>
    <t>Рухливість</t>
  </si>
  <si>
    <t>Геометрія руху</t>
  </si>
  <si>
    <t>Гоніометр</t>
  </si>
  <si>
    <t>°</t>
  </si>
  <si>
    <t>Функціональний</t>
  </si>
  <si>
    <t>AAOS</t>
  </si>
  <si>
    <t>Універсальний або цифровий гоніометр; інклінометр — для хребта. Смартфон-додатки допустимі лише як валідована альтернатива.</t>
  </si>
  <si>
    <t>Пряме кутове вимірювання за кістковими орієнтирами; той самий вимірювач у динаміці (міжекспертна похибка більша за внутрішньоекспертну).</t>
  </si>
  <si>
    <t>AAOS (стандартні методи вимірювання суглобового руху); AMA Guides.</t>
  </si>
  <si>
    <t>Сила</t>
  </si>
  <si>
    <t>Динамометрія</t>
  </si>
  <si>
    <t>Динамометр</t>
  </si>
  <si>
    <t>кг/бали</t>
  </si>
  <si>
    <t>MRC</t>
  </si>
  <si>
    <t>Ручний динамометр (напр., MicroFET2, Lafayette) — кількісно; за відсутності приладу — шкала MRC 0–5 (напівкількісно).</t>
  </si>
  <si>
    <t>Ізометричне зусилля «make/break test» за стандартизованої позиції.</t>
  </si>
  <si>
    <t>Medical Research Council (MRC) scale; протоколи ручної динамометрії.</t>
  </si>
  <si>
    <t>6-Min Walk Test</t>
  </si>
  <si>
    <t>Толерантність</t>
  </si>
  <si>
    <t>Дистанція ходьби</t>
  </si>
  <si>
    <t>Тест</t>
  </si>
  <si>
    <t>м</t>
  </si>
  <si>
    <t>ATS</t>
  </si>
  <si>
    <t>Прямий коридор ≥30 м з твердим покриттям, розмічений конусами; секундомір, пульсоксиметр, шкала задишки Борга, крісло, доступ до невідкладної допомоги.</t>
  </si>
  <si>
    <t>Пройдена дистанція за 6 хв (6MWD, м). Реєструвати SpO₂ і Борга до/після.</t>
  </si>
  <si>
    <t>ERS/ATS Technical Standard: Holland A.E. et al. (2014). Eur Respir J, 44(6), 1428–1446; ATS Statement (2002).</t>
  </si>
  <si>
    <t>Мобільність</t>
  </si>
  <si>
    <t>Час виконання</t>
  </si>
  <si>
    <t>с</t>
  </si>
  <si>
    <t>Rehab Guideline</t>
  </si>
  <si>
    <t>Стандартне крісло з підлокітниками (висота сидіння ≈46 см), секундомір, мітка/конус на 3 м.</t>
  </si>
  <si>
    <t>Час (с) від команди до повернення в сидяче положення. &gt;13,5 с — підвищений ризик падінь.</t>
  </si>
  <si>
    <t>Podsiadlo D., Richardson S. (1991). J Am Geriatr Soc, 39(2), 142–148.</t>
  </si>
  <si>
    <t>Grip Strength</t>
  </si>
  <si>
    <t>Hand Grip</t>
  </si>
  <si>
    <t>Сила кисті</t>
  </si>
  <si>
    <t>кг</t>
  </si>
  <si>
    <t>Jamar</t>
  </si>
  <si>
    <t>Гідравлічний динамометр Jamar (де-факто еталон) — 2-ге положення ручки; положення: сидячи, лікоть 90°, передпліччя нейтрально.</t>
  </si>
  <si>
    <t>Максимум або середнє з 3 спроб; фіксувати домінантну/недомінантну руку.</t>
  </si>
  <si>
    <t>Протокол ASHT (American Society of Hand Therapists); референсні норми Bohannon.</t>
  </si>
  <si>
    <t>Сон</t>
  </si>
  <si>
    <t>Моніторинг</t>
  </si>
  <si>
    <t>Трекер</t>
  </si>
  <si>
    <t>год</t>
  </si>
  <si>
    <t>Цифровий біомаркер</t>
  </si>
  <si>
    <t>AASM</t>
  </si>
  <si>
    <t>Актиграф або валідований носимий пристрій. ⚠ Золотий стандарт — полісомнографія; носимі пристрої систематично завищують тривалість сну.</t>
  </si>
  <si>
    <t>Оцінка за алгоритмом акселерометрії; щоденник сну — обов'язковий супровід.</t>
  </si>
  <si>
    <t>AASM Clinical Practice Guideline (актиграфія): Smith M.T. et al. (2018). J Clin Sleep Med.</t>
  </si>
  <si>
    <t>Actigraphy Index</t>
  </si>
  <si>
    <t>Добова активність</t>
  </si>
  <si>
    <t>Акселерометрія</t>
  </si>
  <si>
    <t>Носимий пристрій</t>
  </si>
  <si>
    <t>Дослідницький актиграф (напр., ActiGraph, Philips Actiwatch); носіння ≥7 діб для стабільної оцінки.</t>
  </si>
  <si>
    <t>Індекс добової активності з акселерометричних даних (counts/епоху).</t>
  </si>
  <si>
    <t>AASM (2018); рекомендації щодо стандартизації епох і алгоритмів.</t>
  </si>
  <si>
    <t>Expert MPS</t>
  </si>
  <si>
    <t>Myofascial Syndrome Score</t>
  </si>
  <si>
    <t>Міофасціальний синдром</t>
  </si>
  <si>
    <t>Огляд</t>
  </si>
  <si>
    <t>Експертна оцінка</t>
  </si>
  <si>
    <t>0-10</t>
  </si>
  <si>
    <t>Клінічний</t>
  </si>
  <si>
    <t>Протокол НДР</t>
  </si>
  <si>
    <t>Приладу не потребує: клінічна пальпація тригерних точок; альгометр тиску (тензоалгометр) — для об'єктивізації порогу болю.</t>
  </si>
  <si>
    <t>Напівкількісна експертна оцінка 0–10 за пальпаторними критеріями тригерних точок (тугий тяж, локальна судомна відповідь, відображений біль).</t>
  </si>
  <si>
    <t>Критерії Travell &amp; Simons (Trigger Point Manual, 3rd ed., 2019); протокол НДР 0126U003361. ⚠ Міжекспертна надійність помірна — бажано один і той самий оцінювач.</t>
  </si>
  <si>
    <t>Інтегральний стан</t>
  </si>
  <si>
    <t>Алгоритм</t>
  </si>
  <si>
    <t>ПЗ</t>
  </si>
  <si>
    <t>Інтегральний</t>
  </si>
  <si>
    <t>Авторський</t>
  </si>
  <si>
    <t>Приладу не потребує: розрахунок у програмному ядрі (Excel-ядро S-matrix).</t>
  </si>
  <si>
    <t>Зважена композиція нормалізованих S-балів доменів. Формула та вагові коефіцієнти — Додаток Ж, Розділи Ж.1–Ж.3 Інструкції; аркуші «2_Parameter_Scores», «7_Final».</t>
  </si>
  <si>
    <t>⚠ Авторський (не міжнародно валідований) індекс. Підлягає зовнішній клінічній валідації; не використовувати як самостійну підставу для рішення.</t>
  </si>
  <si>
    <t>Medication Load</t>
  </si>
  <si>
    <t>Фармаконавантаження</t>
  </si>
  <si>
    <t>Дози препаратів</t>
  </si>
  <si>
    <t>Розрахунок</t>
  </si>
  <si>
    <t>Приладу не потребує: розрахунок за медичною документацією й листами призначень.</t>
  </si>
  <si>
    <t>Для опіоїдів — перерахунок у морфіновий еквівалент (MME) за таблицями конверсії; для решти — Medication Quantification Scale.</t>
  </si>
  <si>
    <t>CDC MME conversion factors; IMMPACT (Dworkin et al., 2008) — рекомендація реєструвати супутню фармакотерапію.</t>
  </si>
  <si>
    <t>Rehab Days</t>
  </si>
  <si>
    <t>Rehabilitation Duration</t>
  </si>
  <si>
    <t>Швидкість відновлення</t>
  </si>
  <si>
    <t>Час лікування</t>
  </si>
  <si>
    <t>доби</t>
  </si>
  <si>
    <t>Rehab guideline</t>
  </si>
  <si>
    <t>Приладу не потребує: облік за медичною документацією.</t>
  </si>
  <si>
    <t>Кількість діб від початку втручання до досягнення заздалегідь визначеного критерію (критерій фіксується в протоколі ДО початку лікування).</t>
  </si>
  <si>
    <t>Загальні настанови з реабілітації; протокол дослідження.</t>
  </si>
  <si>
    <t>Responder Rate</t>
  </si>
  <si>
    <t>Responder &gt;=30% VAS</t>
  </si>
  <si>
    <t>Клінічний ефект</t>
  </si>
  <si>
    <t>Зміна VAS</t>
  </si>
  <si>
    <t>Кінцева точка</t>
  </si>
  <si>
    <t>Приладу не потребує: розрахунок за динамікою VAS/NRS.</t>
  </si>
  <si>
    <t>Частка пацієнтів зі зниженням болю ≥30% від Baseline (помірна відповідь); ≥50% — суттєва відповідь.</t>
  </si>
  <si>
    <t>Farrar J.T. et al. (2001). Pain, 94(2), 149–158; IMMPACT (Dworkin et al., 2008).</t>
  </si>
  <si>
    <t>ПРИМІТКИ ДО КОЛОНОК L–N</t>
  </si>
  <si>
    <t>Обладнання (L)</t>
  </si>
  <si>
    <t>Вказано КЛАС приладу та типові моделі як орієнтир, а не як вимогу закупівлі. Головне правило: у динаміці одного пацієнта використовувати ОДИН І ТОЙ САМИЙ прилад і той самий спосіб вимірювання — інакше різниця між візитами відображатиме зміну методу, а не стану.</t>
  </si>
  <si>
    <t>Опитувальники (M)</t>
  </si>
  <si>
    <t>Наведено першоджерело (валідаційна публікація) і, де застосовно, формулу розрахунку та порогові значення. Використовувати лише офіційно перекладені та валідовані для української популяції версії.</t>
  </si>
  <si>
    <t>Ліцензії (N)</t>
  </si>
  <si>
    <t>Жовтим позначено інструменти з обмеженнями доступу. Особливо: MoCA — обов’язкова сертифікація користувача з 01.09.2020; SF-36, HADS, MMSE — платні ліцензії; EQ-5D — обов’язкова реєстрація. Використання без ліцензії є порушенням авторських прав і може знецінити результати для публікації чи реєстраційного досьє.</t>
  </si>
  <si>
    <t>Умовні одиниці</t>
  </si>
  <si>
    <t>Показники PU (лазерна допплерівська флоуметрія), StO₂ (NIRS) та PI (перфузійний індекс) не мають міжнародно стандартизованої шкали — їх значення приладозалежні й придатні лише для внутрішньопацієнтського порівняння.</t>
  </si>
  <si>
    <t>Авторські індекси</t>
  </si>
  <si>
    <t>IBI та Expert MPS не є міжнародно валідованими інструментами. Вони придатні для внутрішнього моніторингу динаміки, але не можуть бути самостійною підставою для клінічного рішення чи доказом ефективності в реєстраційному досьє.</t>
  </si>
  <si>
    <t>PatientID</t>
  </si>
  <si>
    <t>Sex</t>
  </si>
  <si>
    <t>Age</t>
  </si>
  <si>
    <t>Diagnosis</t>
  </si>
  <si>
    <t>VisitDay</t>
  </si>
  <si>
    <t>SixMWT</t>
  </si>
  <si>
    <t>⚠ ПОХОДЖЕННЯ ДАНИХ ЦЬОГО ЛИСТА — ОБОВ’ЯЗКОВО ПРОЧИТАТИ</t>
  </si>
  <si>
    <t>M</t>
  </si>
  <si>
    <t>Наслідки контузії</t>
  </si>
  <si>
    <t>СТОВПЦІ A–K (PatientID, Group, Sex, Age, Diagnosis, VisitDay, VAS, CSI, LF_HF, ROM, MedicationLoad) — вихідні дані дослідження, наявні у файлі до цього доопрацювання.</t>
  </si>
  <si>
    <t>Стара осколкова травма</t>
  </si>
  <si>
    <t>ПРИЗНАЧЕННЯ: заповнити модель повним набором показників, щоб продемонструвати роботу когортних розрахунків та діаграм. Після отримання реальних вимірювань згенеровані стовпці мають бути ПОВНІСТЮ ЗАМІНЕНІ фактичними даними.</t>
  </si>
  <si>
    <t>F</t>
  </si>
  <si>
    <t>⚠ ВІЗИТИ: у масиві контрольні точки — доби 0, 4, 8, 12, 21. Розрахункова модель індексів (листи 5, 6, 7) працює з добами 5, 10, 20, 40, 80. Це РІЗНІ схеми спостереження. Когортні індекси рахуються за власною схемою масиву і НЕ є прямо порівнянними з індивідуальними індексами пацієнта.</t>
  </si>
  <si>
    <t>Ушиб кінцівки</t>
  </si>
  <si>
    <t>Комбінована травма</t>
  </si>
  <si>
    <t>Як користуватись (коротко)</t>
  </si>
  <si>
    <t>1. Виберіть нозологію → отримаєте 6 точок різних ролей (впливу).</t>
  </si>
  <si>
    <t>(зверніть увагу, що конкретизуються етиології, проблематика, першопричини по факту)</t>
  </si>
  <si>
    <t>2. Користуйтеся колонками «Обґрунтування/логіка/рекомендації (ефекти)» — там лаконічно вказано що робить кожна точка по факту 116 випадків</t>
  </si>
  <si>
    <t>3. За потреби: відкрийте  вкладку «як_шукати» (із цунями) і швидко знайдіть кожну точку на пацієнті ( відступи, «де стати» тощо). Подивіться атласи літератури.</t>
  </si>
  <si>
    <t>4. У МАГНУЗ‑Муфлон: осьове прогрівання → локальна декомпресія → фасціальний реліз → вегетативна стабілізація → дистальна (рефлекторна) фіксація.</t>
  </si>
  <si>
    <t xml:space="preserve">5. (якщо фактаж інший?Що робити?) Методологію вивчити та внести корективи у вибір точок інтервенції аплікатором МАГНУЗ‑Муфлон </t>
  </si>
  <si>
    <t>зробити запити по ШІ Al Cloude, надавши як приклад  цей файл та корективи з відомих симптомів, попередніх діагнозів,  історій хворіб та інш.</t>
  </si>
  <si>
    <t xml:space="preserve">6 . Після того як отримали рекомендацію щодо певних змін набору точок інтервенції мультифізичними акордами приладу від ШІ, використайте фахову логіку та </t>
  </si>
  <si>
    <t>радьтесь з максимально-досвідченими лікарями-колегами, при сумнівах - лишайте основні 3-4 необхідні точки.</t>
  </si>
  <si>
    <t>Джерела (атласи, методологічне)</t>
  </si>
  <si>
    <t>Voll R. Topographic Positions of the Measurement Points in Electroacupuncture. — MLV, 1977.</t>
  </si>
  <si>
    <t>Morell F. Mora-Therapie — patienteneigene und Farblichtschwingungen. — Heidelberg: Karl F. Haug Verlag, 1988.</t>
  </si>
  <si>
    <t>Rasche E. Bioresonanz-Therapie (MORA). — Wegberg, 1989.</t>
  </si>
  <si>
    <t>Schleip R. Fascial plasticity – a new neurobiological explanation. — Journal of Bodywork and Movement Therapies, 2003.</t>
  </si>
  <si>
    <t>Myers T. W. Anatomy Trains: Myofascial Meridians for Manual and Movement Therapists. — Churchill Livingstone, 2001.</t>
  </si>
  <si>
    <t>Popp F. A. Biophotons – Background, Experimental Results and Theoretical Approach. — Renewable Energy, 1992.</t>
  </si>
  <si>
    <t>Emoto M. The Hidden Messages in Water. — Beyond Words Publishing, 2004.</t>
  </si>
  <si>
    <t>Bose J. C. Plant Response as a Means of Physiological Investigation. — London: Longmans, Green, and Co., 1906.</t>
  </si>
  <si>
    <t>Dunn C. The Giza Power Plant: Technologies of Ancient Egypt. — Bear &amp; Company, 1998.</t>
  </si>
  <si>
    <t>Farrell J. P. The Giza Death Star Revisited. — Adventures Unlimited Press, 2002.</t>
  </si>
  <si>
    <t>Galle M. MORA-Bioresonanztherapie – eine komplementärmedizinische Methode. — Forschende Komplementärmedizin, 2009.</t>
  </si>
  <si>
    <t>Gotovskiy Y. V., Perov Y. F. Bioresonance Therapy. — IMEDIS, 2000.</t>
  </si>
  <si>
    <t>Rife R. R. The Cancer Cure That Worked: 50 Years of Suppression. — Marcus, 1987.</t>
  </si>
  <si>
    <t>Tesla N. High Frequency Oscillators for Electro-Therapeutic and Other Purposes. — The Electrical Engineer, 1898.</t>
  </si>
  <si>
    <t>Lakhovsky G. The Secret of Life: Cosmic Rays and Radiations of Living Beings. — London, 1939.</t>
  </si>
  <si>
    <t>Oschman J. L. Energy Medicine: The Scientific Basis. — Churchill Livingstone, 2000.</t>
  </si>
  <si>
    <t>Pollack G. H. The Fourth Phase of Water. — Ebner and Sons, 2013.</t>
  </si>
  <si>
    <t>Frohlich H. Coherent Excitations in Biological Systems. — Springer-Verlag, 1980.</t>
  </si>
  <si>
    <t>Becker R. O. The Body Electric: Electromagnetism and the Foundation of Life. — William Morrow, 1985.</t>
  </si>
  <si>
    <t>Pischinger A. The Extracellular Matrix and Ground Regulation. — North Atlantic Books, 2007.</t>
  </si>
  <si>
    <t>Chou C. K. Therapeutic Applications of Electromagnetic Fields. — Bioelectromagnetics, 1999.</t>
  </si>
  <si>
    <t>Lipton B. The Biology of Belief. — Hay House, 2005.</t>
  </si>
  <si>
    <t>Adey W. R. Biological effects of electromagnetic fields. — Journal of Cellular Biochemistry, 1993.</t>
  </si>
  <si>
    <t>Liboff A. R. Toward an electromagnetic biology. — Biosystems, 2004.</t>
  </si>
  <si>
    <t>Belyaev I. Y. Non-thermal biological effects of microwaves. — Microwave Review, 2005.</t>
  </si>
  <si>
    <t>Smith C. W. Quanta, Coherence and Chaos in Living Systems. — Fuel and Energy Abstracts, 2004.</t>
  </si>
  <si>
    <t>Tiller W. A. Psychoenergetic Science. — Pavior Publishing, 2007.</t>
  </si>
  <si>
    <t>Presman A. S. Electromagnetic Fields and Life. — Plenum Press, 1970.</t>
  </si>
  <si>
    <t>Fröhlich H. Biological effects of microwaves and restorative processes. — IEEE, 1983.</t>
  </si>
  <si>
    <t>Voll R. Twenty years of electroacupuncture diagnosis. — American Journal of Acupuncture, 1975.</t>
  </si>
  <si>
    <t>Islam N. et al. Bioresonance therapy: a review. — Journal of Medical Engineering &amp; Technology, 2012.</t>
  </si>
  <si>
    <t>Grosman Z. The influence of bioresonance on physiological parameters. — Science &amp; Health, 2005.</t>
  </si>
  <si>
    <t>Endler P. C. Bioresonance and multiresonance therapy. — University of Graz, 2001.</t>
  </si>
  <si>
    <t>Shambhu S. Solfeggio Frequencies and Human Biofield. — Journal of Vibroengineering, 2018.</t>
  </si>
  <si>
    <t>Goldstein A. Pain management in chronic rehabilitation. — Medical Journal, 2015.</t>
  </si>
  <si>
    <t>Melzack R. Pain and the neuromatrix in the brain. — Journal of Dental Education, 2001.</t>
  </si>
  <si>
    <t>Simons D. G., Travell J. G. Myofascial Pain and Dysfunction. — Williams &amp; Wilkins, 1999.</t>
  </si>
  <si>
    <t>Dunaev A. V. Modern instrumentation for bioresonance. — Applied Physics, 2014.</t>
  </si>
  <si>
    <t>Karazin V. N. Electrophysiological aspects of rehabilitation. — Kharkov University Press, 2018.</t>
  </si>
  <si>
    <t>Berezovskiy V. Y. Biophysical medicine: resonance and regulation. — Kyiv: Naukova Dumka, 2003.</t>
  </si>
  <si>
    <t>Melzack R., Wall P. D. Pain mechanisms: a new theory. — Science, 1965. (Фундамент: теорія ворітного контролю болю, на якій базується логіка БРТ як переривача сигналу).</t>
  </si>
  <si>
    <t>Fine P. G., Perry Fine. The Nature of Chronic Pain. — Frontiers in Pharmacology, 2011. (Опис патофізіології хронічного болю в пізній реабілітації).</t>
  </si>
  <si>
    <t>Walker J. B. Relief from chronic pain by low power laser irradiation. — Neuroscience Letters, 1983. (Аналогія з низькочастотними хвилями БРТ).</t>
  </si>
  <si>
    <t>Lynch M. E. The need for a systems approach to chronic pain management. — Pain Research and Management, 2011. (Обґрунтування мультифізичного підходу).</t>
  </si>
  <si>
    <t>Vidal J. The Neurobiology of Proprioception and Myofascial Release. — Journal of Bodywork and Movement Therapies, 2014. (Наукова база під "Анатомічні поїзди").</t>
  </si>
  <si>
    <t>Friction J. Myofascial Pain Syndrome: Chronic Pain Management. — Current Pain and Headache Reports, 2014. (Діагностика за картами, що корелює з нашою таблицею точок акупунктури).</t>
  </si>
  <si>
    <t>Sancier K. M. Medical applications of Qigong. — Alternative Therapies in Health and Medicine, 1996. (Докази впливу низьких частот на біополе).</t>
  </si>
  <si>
    <t>Rubik B. The Biofield Hypothesis: Its Biophysical Basis and Role in Medicine. — Journal of Alternative and Complementary Medicine, 2002. (Теоретична база під "ендогенну БРТ").</t>
  </si>
  <si>
    <t>Belyaev I. Y., Alipov Y. D. Frequency-dependent effects of weak magnetic fields on human lymphocytes. — Radiobiology, 2001. (Обґрунтування нашого акценту на імунологічних показниках).</t>
  </si>
  <si>
    <t>Liboff A. R. Electric-field ion cyclotron resonance in biological systems. — Bioelectromagnetics, 1985. (Фізика резонансу в клітинних каналах).</t>
  </si>
  <si>
    <t>Yao K. et al. Bioresonance therapy in chronic pain: A systematic review. — Complementary Therapies in Clinical Practice, 2018. (Доказова база ефективності БРТ).</t>
  </si>
  <si>
    <t>Pihtina T. B. Effectiveness of Bioresonance Therapy in Complex Rehabilitation of Veterans. — Military Medical Journal, 2019. (Пряма відповідність нашій темі ПТСР).</t>
  </si>
  <si>
    <t>Zimmerman A. J. Low-frequency electromagnetic fields as a tool in regenerative medicine. — Stem Cell Research, 2016. (Зв'язок БРТ з регенерацією тканин).</t>
  </si>
  <si>
    <t>Tansley D. Radionics: Interface with the Etheric Fields. — Health Science Press, 1975. (Історичний аспект дистанційної терапії та діагностики).</t>
  </si>
  <si>
    <t>Dunaev A. V. Metrological assurance of diagnostic and therapeutic devices. — Measurement Techniques, 2015. (Технічна валідація приладів-аналогів типу «Муфлон»).</t>
  </si>
  <si>
    <t>Bakulin I. S. Neuromodulation in the treatment of chronic pain syndromes. — Neurology and Psychiatry, 2017. (Зв'язок БРТ з нейропластичністю).</t>
  </si>
  <si>
    <t>Steiner F. Frequency Specific Microcurrent in Pain Management. — Elsevier, 2010. (Методики мікрострумів, аналогічні використаним частотним картам).</t>
  </si>
  <si>
    <t>Gevirtz R. Biofeedback Restoration of Homeostasis. — Biofeedback, 2013. (Теорія гомеостазу, згадана у  висновках).</t>
  </si>
  <si>
    <t>Karazin V. N. Integrated Rehabilitation Systems in Modern Conflict. — University of Kharkov, 2024. (Актуальність для воєнного часу).</t>
  </si>
  <si>
    <t>Selye H. Stress and the General Adaptation Syndrome. — British Medical Journal, 1950. (Класична теорія адаптації для  1 розділу про "адаптивні можливості").</t>
  </si>
  <si>
    <t>Breivik H. et al. Survey of chronic pain in Europe. — European Journal of Pain, 2006.</t>
  </si>
  <si>
    <t>Derry S. et al. Non-steroidal anti-inflammatory drugs for chronic non-cancer pain. — Cochrane Database, 2017.</t>
  </si>
  <si>
    <t>Woolf C. J. Central sensitization: Implications for the diagnosis and treatment of pain. — Pain, 2011.</t>
  </si>
  <si>
    <t>Bjordal J. M. et al. Low level laser therapy for tendinopathy. — British Journal of Sports Medicine, 2001.</t>
  </si>
  <si>
    <t>Sluka K. A. Mechanisms of TENS in pain management. — Physical Therapy, 2003.</t>
  </si>
  <si>
    <t>Galle M. Clinical evidence of Bioresonance. — Journal of Complementary Medicine, 2011.</t>
  </si>
  <si>
    <t>Muehsam D., Ventura C. Vitamins of Light and Sound: Bioelectromagnetics and Regeneration. — Water Journal, 2014.</t>
  </si>
  <si>
    <t>Zhadin M. N. Combined action of static and alternating magnetic fields on ion motion in macromolecules. — Bioelectromagnetics, 2001.</t>
  </si>
  <si>
    <t>Mezhidov S. K. Physics of bioresonance interaction. — Biophysics, 2010.</t>
  </si>
  <si>
    <t>Benedetti F. Placebo Effects: Understanding the Mechanisms in Health and Disease. — Oxford Press, 2008.</t>
  </si>
  <si>
    <t>Varrassi G. et al. Pharmacological management of chronic pain. — Pain and Therapy, 2021.</t>
  </si>
  <si>
    <t>Chou R. et al. Systemic Pharmacologic Therapies for Low Back Pain. — Annals of Internal Medicine, 2017.</t>
  </si>
  <si>
    <t>Herrmann E. Bioresonance therapy for drug-resistant pain. — Clinical Case Reports, 2015.</t>
  </si>
  <si>
    <t>Berezovskiy V. Y. Systemic effects of combined physio-pharmacotherapy. — Medical Perspectives, 2022.</t>
  </si>
  <si>
    <t>Jensen M. P. Questionnaire validation in chronic pain research. — Pain Medicine, 2005.</t>
  </si>
  <si>
    <t>Price D. D. et al. The affective dimension of pain. — Pain, 1987.</t>
  </si>
  <si>
    <t>Chapman C. R. et al. Pain and stress: a systemic perspective. — Journal of Pain, 2008.</t>
  </si>
  <si>
    <t>Lundeberg T. Long-term results of acupuncture in chronic pain. — Pain Clinic, 1992.</t>
  </si>
  <si>
    <t>Fyk M. I. Economic efficiency of bioresonance complexes. — NTU "KhPI" Reports, 2025.</t>
  </si>
  <si>
    <t>Ware J. E. SF-36 Health Survey: Manual and Interpretation Guide. — QualityMetric Inc., 1993.</t>
  </si>
  <si>
    <t>Myers, T. W. (2026). Anatomy trains: Myofascial meridians for manual therapists and movement professionals (5th ed.). Elsevier.</t>
  </si>
  <si>
    <t>Davies, C., &amp; Davies, A. (2025). The trigger point therapy workbook: Your self‑treatment guide for pain relief (3rd ed.). New Harbinger Publications.</t>
  </si>
  <si>
    <t>Maciocia, G., &amp; Maciocia, S. (2021). The practice of Chinese medicine: The treatment of diseases with acupuncture and Chinese herbs (3rd ed.). Churchill Livingstone / Elsevier.</t>
  </si>
  <si>
    <t>Rappenecker, W., &amp; Kockrick, M. (2023). Atlas Shiatsu: Die Meridiane des Zen‑Shiatsu (4th ed.). Urban &amp; Fischer.</t>
  </si>
  <si>
    <t>Park, J. W. (2003). Su Jok therapy. Su Jok Academy Publishing.</t>
  </si>
  <si>
    <t>Jänig, W., &amp; McLachlan, E. (2022). The integrative action of the autonomic nervous system: Neurobiology of homeostasis (2nd ed.). Cambridge University Press.</t>
  </si>
  <si>
    <t>ВЕРИФІКОВАНА ПРАКТИЧНА ЛІТЕРАТУРА ТА СУЧАСНІ АТЛАСИ (за Додатком В Інструкції з експлуатації АПК «МАГНУЗ–МУФЛОН»)</t>
  </si>
  <si>
    <t>Призначення блоку: дати персоналу змогу БЕЗ звернення до тексту Інструкції швидко визначити, яке саме джерело переглянути перед рішенням щодо аналізу перебігу лікування конкретного пацієнта та уточнення зон впливу. Кожен запис прив’язано до конкретної зони моделі «6+1» і позначено рівнем доказовості. Джерела перевірено на існування та актуальність видання.</t>
  </si>
  <si>
    <t>КОЛИ ЗВЕРТАТИСЯ
(практичне питання)</t>
  </si>
  <si>
    <t>ДЖЕРЕЛО (повний бібліографічний опис)</t>
  </si>
  <si>
    <t>ЩО САМЕ ДИВИТИСЯ</t>
  </si>
  <si>
    <t>Зона
«6+1»</t>
  </si>
  <si>
    <t>Рівень
доказ.</t>
  </si>
  <si>
    <t>В.1  ТОПОГРАФІЯ ТА ЛОКАЛІЗАЦІЯ — перед встановленням випромінювачів</t>
  </si>
  <si>
    <t>Не впевнені в анатомії ділянки; ризик глибоких структур (нерв, судина)</t>
  </si>
  <si>
    <t>Schuenke, M., Schulte, E., &amp; Schumacher, U. (2020). THIEME Atlas of Anatomy (3rd ed.). Thieme.</t>
  </si>
  <si>
    <t>Пошарова топографія м’язів, периферичних нервів і судинних пучків з точністю до міліметра — щоб не наводити промінь/електрод на нервово-судинний пучок.</t>
  </si>
  <si>
    <t>Усі зони</t>
  </si>
  <si>
    <t>A</t>
  </si>
  <si>
    <t>Треба точно знайти точку ТКМ на пацієнті (цуні, орієнтири)</t>
  </si>
  <si>
    <t>Deadman, P., Al-Khafaji, M., &amp; Baker, K. (2016). A Manual of Acupuncture (2nd ed.). Journal of Chinese Medicine Publications.</t>
  </si>
  <si>
    <t>«Золотий стандарт» топографії точок: анатомічні орієнтири, цунева прив’язка, безпечні глибини впливу. Основне джерело для звірки координат з листом «Довідник_зон_S-matrix».</t>
  </si>
  <si>
    <t>EMS-1/2,
PEMF-1/2</t>
  </si>
  <si>
    <t>B</t>
  </si>
  <si>
    <t>В.2  ДОЗУВАННЯ МОДАЛЬНОСТЕЙ І ПРОТИПОКАЗИ — ядро доказовості</t>
  </si>
  <si>
    <t>Підбір інтенсивності/частоти; сумнів щодо протипоказу</t>
  </si>
  <si>
    <t>Watson, T., &amp; Nussbaum, E. L. (Eds.). (2020). Electrophysical Agents: Evidence-Based Practice (13th ed.). Elsevier. ISBN 9780702051517.</t>
  </si>
  <si>
    <t>ГОЛОВНЕ джерело з дозувань. Готові таблиці режимів для електростимуляції, PEMF і ультразвуку; повний перелік абсолютних і відносних протипоказів. Розділ Sluka — нейробіологія болю та аналгезії.</t>
  </si>
  <si>
    <t>Усі 6 зон</t>
  </si>
  <si>
    <t>Питання безпеки ультразвукового впливу, тривалості на одну зону</t>
  </si>
  <si>
    <t>Bader, K. B., Padilla, F., Haworth, K. J., et al. (2024). Overview of Therapeutic Ultrasound Applications and Safety Considerations: 2024 Update. Journal of Ultrasound in Medicine. https://doi.org/10.1002/jum.16611</t>
  </si>
  <si>
    <t>Актуальні (2024) межі безпеки терапевтичного УЗ, механізми біоефектів, контроль дози й непередбачені ефекти. Відкритий доступ через PubMed Central.</t>
  </si>
  <si>
    <t>LIPUS-1/2</t>
  </si>
  <si>
    <t>Обґрунтування LIPUS у регенерації тканин</t>
  </si>
  <si>
    <t>Piotrzkowska, D., Siwak, M., Adamkiewicz, J., Dziki, L., &amp; Majsterek, I. (2025). The Therapeutic Potential of PEMF and LIPUS in Peripheral Nerve Regeneration: A Comprehensive Review. International Journal of Molecular Sciences, 26(19), 9311. https://doi.org/10.3390/ijms26199311</t>
  </si>
  <si>
    <t>Синергія PEMF + LIPUS: PEMF діє переважно на нейропатичний біль і запалення, LIPUS — на провідність нерва й аксональну регенерацію. Пряме обґрунтування комбінованої архітектури АПК.</t>
  </si>
  <si>
    <t>PEMF-1/2,
LIPUS-1/2</t>
  </si>
  <si>
    <t>В.3  КЛІНІЧНА ОЦІНКА ПАЦІЄНТА — до і після сеансу</t>
  </si>
  <si>
    <t>Треба визначити уражений корінець/дерматом до та після сеансу</t>
  </si>
  <si>
    <t>Bickley, L. S., Szilagyi, P. G., Hoffman, R. M., &amp; Soriano, R. P. (2021). Bates’ Guide to Physical Examination and History Taking (13th ed.). Wolters Kluwer.</t>
  </si>
  <si>
    <t>Покроковий неврологічний огляд: перевірка рефлексів, чутливості дерматомів, сили м’язів. Дає об’єктивну динаміку для доменів Pain і Function.</t>
  </si>
  <si>
    <t>Оцінка
динаміки</t>
  </si>
  <si>
    <t>Біль не зменшується попри правильні зони; підозра на центральну сенситизацію</t>
  </si>
  <si>
    <t>Woolf, C. J. (2011). Central sensitization: Implications for the diagnosis and treatment of pain. Pain, 152(3 Suppl), S2–S15. https://doi.org/10.1016/j.pain.2010.09.030</t>
  </si>
  <si>
    <t>Коли біль перестає бути «локальним»: як інтерпретувати високий CSI і чому потрібно змістити акцент з LIPUS-1 (осередок) на EMS-2 (вегетативна регуляція) і центральні механізми.</t>
  </si>
  <si>
    <t>EMS-2,
перегляд
стратегії</t>
  </si>
  <si>
    <t>Пацієнт з ПТСР + хронічний біль; планування вегетативного контуру</t>
  </si>
  <si>
    <t>Chadwick, T. M., Tatschl, J. M., Fujiyama, H., Drummond, P. D., &amp; Mathersul, D. C. (2026). Heart rate variability biofeedback improves co-occurring PTSD and chronic pain symptoms: A randomised waitlist controlled trial. Journal of Affective Disorders, 394, 120558. https://doi.org/10.1016/j.jad.2025.120558</t>
  </si>
  <si>
    <t>РКД: 6-тижневий HRV-біозворотний зв’язок знизив симптоми ПТСР і інтерференцію болю приблизно на чверть. Обґрунтування Фази 3 протоколу та мішені EMS-2.</t>
  </si>
  <si>
    <t>EMS-2,
Фаза 3</t>
  </si>
  <si>
    <t>Фізіологія ВНС; інтерпретація HRV/LF/HF</t>
  </si>
  <si>
    <t>Jänig, W., &amp; McLachlan, E. (2022). The Integrative Action of the Autonomic Nervous System: Neurobiology of Homeostasis (2nd ed.). Cambridge University Press.</t>
  </si>
  <si>
    <t>Базова фізіологія вегетативної регуляції — щоб коректно трактувати домен ANS, а не лише зчитувати цифри з монітора.</t>
  </si>
  <si>
    <t>EMS-2</t>
  </si>
  <si>
    <t>Межа застосовності: коли АПК недоцільний і потрібні інші заходи</t>
  </si>
  <si>
    <t>Joint Trauma System. Tactical Combat Casualty Care (TCCC) Guidelines (чинна редакція). https://jts.health.mil</t>
  </si>
  <si>
    <t>Чітке розмежування: етап реабілітації/хронічний біль (АПК доцільний) проти станів, де пріоритет — заходи TCCC (кровотеча, декомпресія). Обов’язково для парамедиків.</t>
  </si>
  <si>
    <t>Протипокази</t>
  </si>
  <si>
    <t>В.4  ДІАГНОСТИЧНА ЗОНА «+1» — нейролімфатичні рефлекси Чепмена</t>
  </si>
  <si>
    <t>Пальпація діагностичної зони перед акордом; уточнення вісцерального фону</t>
  </si>
  <si>
    <t>Owens, C. (1937/репринт). An Endocrine Interpretation of Chapman’s Reflexes. American Academy of Osteopathy.</t>
  </si>
  <si>
    <t>Першоджерело й найдетальніший атлас: карти передніх і задніх рефлекторних точок для кожного органа та ендокринної залози. Основа колонки «+1» листа «6+1_зони_підсумок».</t>
  </si>
  <si>
    <t>+1
діагностична</t>
  </si>
  <si>
    <t>C</t>
  </si>
  <si>
    <t>Потрібна ЧЕСНА оцінка доказовості точок Чепмена перед висновком</t>
  </si>
  <si>
    <t>Sikorski, D., &amp; Ashurst, J. V. Physiology, Chapman’s Points. StatPearls [Internet]. Treasure Island (FL): StatPearls Publishing. NBK558953. https://www.ncbi.nlm.nih.gov/books/NBK558953/</t>
  </si>
  <si>
    <t>ОБОВ’ЯЗКОВО читати разом з попереднім джерелом. Сучасний безкоштовний огляд, який прямо зазначає: рецензованих клінічних досліджень щодо точок Чепмена мало, більшість даних — спостережні. Утримує персонал від переоцінки діагностичної ваги пальпації.</t>
  </si>
  <si>
    <t>Фізіологічне пояснення вісцеро-соматичного рефлексу</t>
  </si>
  <si>
    <t>Kuchera, W. A., &amp; Kuchera, M. L. (1994). Osteopathic Considerations in Systemic Dysfunction (2nd ed.). Greyden Press.</t>
  </si>
  <si>
    <t>Механізм рефлексів Чепмена з погляду вегетативної нервової системи — чому вплив на зону може змінювати лімфовідтік від органа.</t>
  </si>
  <si>
    <t>В.5  МІОФАСЦІЯ ТА ТРИГЕРНІ ТОЧКИ — обґрунтування зони LIPUS-2</t>
  </si>
  <si>
    <t>Побудова траєкторії сканування вздовж фасціальної лінії</t>
  </si>
  <si>
    <t>Myers, T. W. (2020). Anatomy Trains: Myofascial Meridians for Manual Therapists and Movement Professionals (4th ed.). Elsevier. [5-те вид. — Elsevier, 2026, ISBN 9780443127106]</t>
  </si>
  <si>
    <t>Головна книга-атлас: тривимірні схеми 12 міофасціальних ліній (поверхнева задня, поверхнева фронтальна, спіральна тощо). Excel-ядро використовує ці лінії для вибору зони LIPUS-2.</t>
  </si>
  <si>
    <t>LIPUS-2</t>
  </si>
  <si>
    <t>Біль відображається в іншу ділянку; пошук тригерної точки</t>
  </si>
  <si>
    <t>Donnelly, J. M., Simons, D. G., &amp; Travell, J. G. (2019). Travell, Simons &amp; Simons’ Myofascial Pain and Dysfunction: The Trigger Point Manual (3rd ed.). Wolters Kluwer.</t>
  </si>
  <si>
    <t>Карти тригерних точок і патернів ВІДОБРАЖЕНОГО болю по кожному м’язу. Пояснює, чому осередок болю пацієнта може не збігатися з джерелом — ключове для вибору LIPUS-1 проти LIPUS-2.</t>
  </si>
  <si>
    <t>Сучасна доказова база фасціальної науки</t>
  </si>
  <si>
    <t>Schleip, R., Stecco, C., Driscoll, M., &amp; Huijing, P. (Eds.). (2021). Fascia: The Tensional Network of the Human Body (2nd ed.). Elsevier.</t>
  </si>
  <si>
    <t>Рецензований збірник з фасціальної механіки, іннервації та реакції на механічний стимул — наукове підґрунтя механізму дії LIPUS на фасцію.</t>
  </si>
  <si>
    <t>В.6  ТКМ, ШІА-ЦУ, СУ-ДЖОК, ДИСТАЛЬНІ МЕТОДИ — допоміжний шар вибору зон</t>
  </si>
  <si>
    <t>Синдромальна логіка вибору точок за ТКМ для конкретної нозології</t>
  </si>
  <si>
    <t>Maciocia, G., &amp; Maciocia, S. (2021). The Practice of Chinese Medicine: The Treatment of Diseases with Acupuncture and Chinese Herbs (3rd ed.). Elsevier.</t>
  </si>
  <si>
    <t>Пояснює логіку колонок «Основні меридіани» та «Домінантний патерн» листа «Терапія_по_зонах» — чому для цієї нозології обрано саме ці меридіани.</t>
  </si>
  <si>
    <t>EMS-1/2,
PEMF-1</t>
  </si>
  <si>
    <t>Первинна пальпаторна верифікація стану (живіт/Хара)</t>
  </si>
  <si>
    <t>Matsumoto, K., &amp; Birch, S. (1988). Hara Diagnosis: Reflections on the Sea. Paradigm Publications.</t>
  </si>
  <si>
    <t>Графічна карта зон Хара (колонка «Hara-сектори» Excel-ядра): кожна ділянка живота рефлекторно пов’язана з системою чи меридіаном.</t>
  </si>
  <si>
    <t>Перед
акордом</t>
  </si>
  <si>
    <t>Меридіанна логіка натиснень і дистальних зон</t>
  </si>
  <si>
    <t>Rappenecker, W., &amp; Kockrick, M. (2023). Atlas Shiatsu: Die Meridiane des Zen-Shiatsu (4th ed.). Urban &amp; Fischer / Elsevier.</t>
  </si>
  <si>
    <t>Сучасний атлас меридіанів дзен-шіацу — підґрунтя колонок «Shiatsu-кодування» та «Shiatsu на кінцівках і голові».</t>
  </si>
  <si>
    <t>PEMF-2</t>
  </si>
  <si>
    <t>Дистальна відповідність кисті/стопи</t>
  </si>
  <si>
    <t>Park, J. W. (2001/2003). Su Jok Acupuncture / Su Jok Therapy. Su Jok Academy Publishing.</t>
  </si>
  <si>
    <t>Базовий графічний посібник корейської системи відповідності. Кисть/стопа багаті на нервові закінчення — використовуються як дистальний компонент PEMF-2.</t>
  </si>
  <si>
    <t>Дистальне «дзеркало»: лікувати коліно через лікоть тощо</t>
  </si>
  <si>
    <t>Tan, R. T. (2007). Acupuncture 1, 2, 3. Main’s Acupuncture.</t>
  </si>
  <si>
    <t>Матрична логіка «Методу Балансу»: оператор вводить зону болю — отримує дистальну точку. Застосовується як ДОПОМІЖНИЙ, не основний елемент протоколу.</t>
  </si>
  <si>
    <t>Скальпова мікросистема (лише за призначенням невролога)</t>
  </si>
  <si>
    <t>Yamamoto, T., &amp; Yamamoto, H. (2010). Yamamoto New Scalp Acupuncture (YNSA): Principles and Practice (2nd ed.). Springer.</t>
  </si>
  <si>
    <t>Мікроакупунктурна система черепа з відображенням на моторну/сенсорну кору. Застосування при реабілітації після інсульту та парезах — ВИКЛЮЧНО за призначенням невролога.</t>
  </si>
  <si>
    <t>PEMF-1
(обмежено)</t>
  </si>
  <si>
    <t>ШКАЛА РІВНІВ ДОКАЗОВОСТІ ТА ПОРЯДОК ЗАСТОСУВАННЯ</t>
  </si>
  <si>
    <t>Доказова база рівня РКД, систематичних оглядів або міжнародного стандарту/настанови. Ці джерела мають ПЕРЕВАГУ при будь-якому сумніві щодо дозування, безпеки й протипоказів.</t>
  </si>
  <si>
    <t>Фахові атласи та клінічні дослідження з помірною доказовістю. Використовуються для анатомічного уточнення зон.</t>
  </si>
  <si>
    <t>Клінічно-емпірична традиція (остеопатія, рефлексотерапія, ТКМ, шіацу, Су-Джок). Згідно із Загальним застереженням Додатка В Інструкції, застосовуються як ДОПОМІЖНИЙ, розширювальний шар вибору зон НАД основною доказовою біофізичною моделлю (рівні A/B), а НЕ замість неї, і підлягають клінічній верифікації лікарем.</t>
  </si>
  <si>
    <t>Уточнення, внесені при верифікації</t>
  </si>
  <si>
    <t>1) Watson &amp; Nussbaum — чинне 13-те видання (2020), а не 12-те, як зазначено в тексті Додатка В Інструкції. 2) Джерело «Terrance, P. (2022). Ultrasound in Medicine» верифікувати не вдалося — замінено на Bader et al. (2024, J Ultrasound Med) і Piotrzkowska et al. (2025, IJMS). 3) Myers — чинне 4-те видання (2020); 5-те заплановано на 2026. 4) Owens — оригінал 1937 р. (перевидання American Academy of Osteopathy).</t>
  </si>
  <si>
    <t>Співвідношення з переліком вище (рядки 14–99)</t>
  </si>
  <si>
    <t>Наведений вище історичний список джерел цього листа охоплює, зокрема, біофізичні гіпотези та історичні праці, які НЕ є клінічними настановами. Для рішень щодо конкретного пацієнта — дозування, протипокази, уточнення зон, оцінка динаміки — користуйтеся ЦИМ блоком (записи 1–23), а історичний перелік розглядайте як довідково-теоретичний контекст.</t>
  </si>
  <si>
    <t>Жодне джерело не замінює клінічного рішення лікаря. Остаточний вибір зон, режимів та протипоказів визначає лікар індивідуально (Розділ 3.1 Інструкції).</t>
  </si>
  <si>
    <t xml:space="preserve">Приклади експериментальних методик діагностично-терапевтичного впливу на зони приладами та ПО АПК  МАГНУЗ-МУФЛОН </t>
  </si>
  <si>
    <t>*Активні канали (одночасно, комплексний підхід)</t>
  </si>
  <si>
    <t>РОЗШИРЕНИЙ ПРЕЦИЗІЙНИЙ НАБІР — 6 додаткових точок, дібраних за логікою попередніх стовпців із повного довідника 232 точок ТКМ (лист «Довідник_зон_S-matrix»). Доповнює, а НЕ замінює основні 6 точок моделі «6+1» (стовпці AC–AH).</t>
  </si>
  <si>
    <t xml:space="preserve">при 116 клінічних випадках характерних етиологій та першопричин нозологічної переважно-вікової проблематики </t>
  </si>
  <si>
    <t>* **NR (БАТ + Шиацу)** — дозований тиск</t>
  </si>
  <si>
    <t>* **MF** — міофасціальна деформація</t>
  </si>
  <si>
    <t>* **TH** — керований тепловий градієнт</t>
  </si>
  <si>
    <t>* **VD** — пульсуюче розрідження</t>
  </si>
  <si>
    <t>* **EM** — **модульоване поле**</t>
  </si>
  <si>
    <t>Рекомендації по БАД-фітосинергії: Gaia Turmeric Supreme; Nature’s Bounty Ginkgo; NOW Omega‑3</t>
  </si>
  <si>
    <t xml:space="preserve">(крос-аналіз зон шиацу, суджок, ТКМ, міофасций Маєрса, нейролімфатика Чепмена, припалювання, пальпацыя, мануальне, рефлекторне, комбінуються ЕМS+PEFM+LIPUS)  </t>
  </si>
  <si>
    <t>Протипокази: гарячі синдроми, декомпенсації, активні запалення, чутлива електроніка, проблемна вагітність, шизофренія</t>
  </si>
  <si>
    <t>(Сеанси проводяться по 25-45 хвилин, від 1 до 3-4 раз на день)</t>
  </si>
  <si>
    <t>Нозологія / синдром</t>
  </si>
  <si>
    <t>Домінантний патерн</t>
  </si>
  <si>
    <t>Основні меридіани</t>
  </si>
  <si>
    <t>Логіка вибору (по Маєрсу)</t>
  </si>
  <si>
    <t>Нозологія (уточнення</t>
  </si>
  <si>
    <t>ТКМ (основні)</t>
  </si>
  <si>
    <t>Shiatsu- на кінцівках та голові</t>
  </si>
  <si>
    <t>Логіка (локальність, вісі)</t>
  </si>
  <si>
    <t>Shiatsu-кодування</t>
  </si>
  <si>
    <t>Hara-сектори (см²)</t>
  </si>
  <si>
    <t>Логіка додавання Shiatsu + Су-Джок</t>
  </si>
  <si>
    <t>Терапевтичні тригери Чепмена</t>
  </si>
  <si>
    <t>Логіка додавання (нейролімфатика за Чепменом)</t>
  </si>
  <si>
    <t xml:space="preserve">Етиологічні особливості </t>
  </si>
  <si>
    <t>Першопричини (переважні)</t>
  </si>
  <si>
    <t>Пріоритетна зона 1,домінантна патогенетична</t>
  </si>
  <si>
    <t>Пріоритетна зона 2, лімфо-/вегетативно-закріплююча</t>
  </si>
  <si>
    <t>Пріоритетна зона 3 (мокса / прогрів)</t>
  </si>
  <si>
    <t>Ключові точки / зони</t>
  </si>
  <si>
    <t>Логіка вибору (патогенетична)</t>
  </si>
  <si>
    <t>Гель під аплікатор (рекомендації)</t>
  </si>
  <si>
    <t>Паралельні препарати/добавки (узгодити з лікарем)</t>
  </si>
  <si>
    <t>Фітокомпозиції для гелів</t>
  </si>
  <si>
    <t>Фітокомпозиції в раціоні</t>
  </si>
  <si>
    <t>Осьова точка</t>
  </si>
  <si>
    <t>Локальна точка</t>
  </si>
  <si>
    <t>Вегетативна точка</t>
  </si>
  <si>
    <t>Фасціальна точка</t>
  </si>
  <si>
    <t>Підтримуюча точка</t>
  </si>
  <si>
    <t>Рефлекторно-кінцева точка</t>
  </si>
  <si>
    <t>Логіка</t>
  </si>
  <si>
    <t>Обґрунтування (ефекти)</t>
  </si>
  <si>
    <t>ПРЕЦИЗІЙНА 1
Сегментарно-спінальна
Jiaji (EX-B2) / Back-Shu
Сегментарна терапія, дерматом–міотом–склеротом</t>
  </si>
  <si>
    <t>ПРЕЦИЗІЙНА 2
Міофасціально-тригерна
Travell–Simons × Myers
Тригерна точка провідного м’яза й лінії натягу</t>
  </si>
  <si>
    <t>ПРЕЦИЗІЙНА 3
Нейролімфатично-вісцеральна
Чепмен → Mu/Shu ТКМ
Переведення діагностичної зони в терапевтичну точку</t>
  </si>
  <si>
    <t>ПРЕЦИЗІЙНА 4
Мікроциркуляторно-трофічна
Ангіо-трофічна ланка
Hui-точки крові й сухожиль, протизапальні</t>
  </si>
  <si>
    <t>ПРЕЦИЗІЙНА 5
Психоемоційно-вегетативна
Вісь стрес/ПТСР
Зовнішня лінія BL (Hun-men, Shen-tang, Gao-huang)</t>
  </si>
  <si>
    <t>ПРЕЦИЗІЙНА 6
Дистально-мікросистемна
Су-Джок × метод балансу Тана
Голографічна відповідність кисть/стопа</t>
  </si>
  <si>
    <t>ЛОГІКА ПРЕЦИЗІЙНОГО ДОБОРУ
(на чому ґрунтується вибір саме цих точок)</t>
  </si>
  <si>
    <t>Клінічний
регіон</t>
  </si>
  <si>
    <t>Радикуліт</t>
  </si>
  <si>
    <t>корінцевий, іррадіюючий</t>
  </si>
  <si>
    <t>BL – KI – DU</t>
  </si>
  <si>
    <t>Сегментарний біль + осьова провідність + іррадіація</t>
  </si>
  <si>
    <t>корінцевий</t>
  </si>
  <si>
    <t>BL23, BL25, Ashi, GB30, DU3, DU4, KI3</t>
  </si>
  <si>
    <t>Обличчя: зона попереку на нижній щелепі; Кисть: центр долоні + зона хребта на великому пальці; Стопа: медіальна арка (поперек); Вухо: хребет + поперек</t>
  </si>
  <si>
    <t>Сегмент + корінець</t>
  </si>
  <si>
    <t>Shi-BL(L) + Shi-Limb(D)</t>
  </si>
  <si>
    <t>Hara-Posterior-L3–L5: 2 паравертебральні смуги по 3×8 см (≈48 см²); Hara-Gluteal-GB30: круг 5–6 см (≈25–28 см²)</t>
  </si>
  <si>
    <t>Глибокий прес по хребту → периферійний Су-Джок (стопа/вухо) для закріплення ЕМХ</t>
  </si>
  <si>
    <t>Наднирники (Adrenal) — передня: білатерально ≈2 см латеральніше пупка, трохи нижче; задня: між поперечними відростками Th11–Th12</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</si>
  <si>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«Радикуліт».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</si>
  <si>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Етіології: дегенерація дисків; переохолодження; фізичне перевантаження</t>
  </si>
  <si>
    <t>Першопричини: корінцева компресія; локальний запальний набряк; порушення мікроциркуляції</t>
  </si>
  <si>
    <t>Паравертебрально Th12–L5</t>
  </si>
  <si>
    <t>Сіднична зона (GB30)</t>
  </si>
  <si>
    <t>Паравертебрально L3–L5 + стопа</t>
  </si>
  <si>
    <t>DU4 (Mingmen), Jiaji L3–L5, KI1</t>
  </si>
  <si>
    <t>Усунення холодно-запального корінцевого імпедансу, активація осі Нирки–Хребет</t>
  </si>
  <si>
    <t>Під аплікатор: нейтральний УЗ‑гель або гель з НПЗП (диклофенак 1–2% / кетопрофен 2.5%) для фонофорезу по Z1→Z2; уникати на пошкодженій шкірі.</t>
  </si>
  <si>
    <t>Топічні НПЗП (диклофенак/кетопрофен) як перша лінія; пероральні НПЗП коротким курсом за потреби; при ОА — розглянути дулоксетин; міорелаксанти коротко. За призначенням лікаря.</t>
  </si>
  <si>
    <t>Арніка, календула, імбир, куркума, босвелія, ментол</t>
  </si>
  <si>
    <t>Імбир, куркума, часник, зелений чай, льон</t>
  </si>
  <si>
    <t>GV4</t>
  </si>
  <si>
    <t>GB30</t>
  </si>
  <si>
    <t>SP6</t>
  </si>
  <si>
    <t>GB34</t>
  </si>
  <si>
    <t>GB20</t>
  </si>
  <si>
    <t>GB21</t>
  </si>
  <si>
    <t>Осьова + локальна + ВНС + фасція + підтримка + дистальна (рефлекторна).</t>
  </si>
  <si>
    <t>Осьова: GV4 (Mingmen, тонізує Ян Нирок, зігріває поперек); Локальна: GB30 (локальна при ішіалгії/радикуліті); Вегетативна: SP6 (SP/LR/KI, тазова/вегетативна регуляція); Фасціальна: GB34 (Hui сухожиль); Підтримуюча: GB20 (розсіює «вітер», звільняє голову/очі, шия); Рефлекторно‑кінцева: GB21 (трапеція/плече, опускає Ці)</t>
  </si>
  <si>
    <t>EX-B2 (Jiaji L3–L5)</t>
  </si>
  <si>
    <t>BL25 + BL54</t>
  </si>
  <si>
    <t>BL23</t>
  </si>
  <si>
    <t>SP10</t>
  </si>
  <si>
    <t>GV20 + EX-HN3</t>
  </si>
  <si>
    <t>LR3 + GB41</t>
  </si>
  <si>
    <t>1) Поперекові корінці L3–L5 · 2) Квадратний м’яз попереку й сідничні: люмбо-глютеальний патерн · 3) Back-Shu Нирок — вісь гіпоталамус–гіпофіз–наднирники · 4) Xue-hai — базова мікроциркуляторна точка для кінцівок · 5) Bai-hui та Yin-tang: базова антистрес-вегетативна пара · 6) Дистальна пара нижньої частини тіла; Су-Джок — відповідна зона на СТОПІ</t>
  </si>
  <si>
    <t>Поперековий</t>
  </si>
  <si>
    <t>Протрузія диска</t>
  </si>
  <si>
    <t>локально-компресійний</t>
  </si>
  <si>
    <t>BL – DU</t>
  </si>
  <si>
    <t>Паравертебральний імпеданс + розвантаження корінця</t>
  </si>
  <si>
    <t>компресійний</t>
  </si>
  <si>
    <t>Jiaji, BL23, BL25, BL40, BL60</t>
  </si>
  <si>
    <t>Обличчя: параназальна зона; Кисть: проєкція хребта на тильній стороні; Стопа: латеральна п’ятка; Вухо: хребет + корінець</t>
  </si>
  <si>
    <t>Локальний тиск</t>
  </si>
  <si>
    <t>Shi-BL(L) сегментарно</t>
  </si>
  <si>
    <t>Hara-Posterior-Segmental: зона ±1 хребець від ураження, 2×(2,5×6 см) ≈30 см²; Hara-Popliteal: 4×4 см ≈16 см²</t>
  </si>
  <si>
    <t>Зняття компресії перед / після ЕМХ</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</si>
  <si>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«Протрузія диска».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</si>
  <si>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Етіології: остеохондроз; гіподинамія; постуральні порушення</t>
  </si>
  <si>
    <t>Першопричини: зневоднення диска; фіброзне ослаблення; сегментарний імпеданс</t>
  </si>
  <si>
    <t>Jiaji (±1 сегмент)</t>
  </si>
  <si>
    <t>Jiaji ±1 сегмент + підколінно</t>
  </si>
  <si>
    <t>Jiaji, BL23, BL40</t>
  </si>
  <si>
    <t>Поліпшення дифузного живлення диска, зменшення локальної компресії</t>
  </si>
  <si>
    <t>BL40</t>
  </si>
  <si>
    <t>BL60</t>
  </si>
  <si>
    <t>BL58</t>
  </si>
  <si>
    <t>Осьова: GV4 (Mingmen, тонізує Ян Нирок, зігріває поперек); Локальна: BL40 (охолоджує кров, знеболює поперек/ногу); Вегетативна: SP6 (SP/LR/KI, тазова/вегетативна регуляція); Фасціальна: BL60 (Jing‑River UB — «аспірин меридіанів», біль уздовж спини/шиї); Підтримуюча: BL58 (Luo UB — знімає тяжкість литки); Рефлекторно‑кінцева: BL60 (Jing‑River UB — «аспірин меридіанів», біль уздовж спини/шиї)</t>
  </si>
  <si>
    <t>Грижа МХД</t>
  </si>
  <si>
    <t>компресійно-хронічний</t>
  </si>
  <si>
    <t>Ось + відновлення + глибокий сегмент</t>
  </si>
  <si>
    <t>хронічно-компресійний</t>
  </si>
  <si>
    <t>Jiaji, BL23, DU4, KI3, ST36</t>
  </si>
  <si>
    <t>Обличчя: зона нижньої щелепи; Кисть: хребет + нігтьова фаланга великого пальця; Стопа: центр п’яти; Вухо: поперек</t>
  </si>
  <si>
    <t>Глибокий сегмент</t>
  </si>
  <si>
    <t>Shi-BL(L)+Shi-Hara(KI)</t>
  </si>
  <si>
    <t>Hara-Posterior-L4–S1: 3×10 см ×2 ≈60 см²; Hara-Lower-Abdomen (KI): овал 6×8 см ≈48 см²</t>
  </si>
  <si>
    <t>Хроніка → Shiatsu для трофіки</t>
  </si>
  <si>
    <t>Наднирники (Adrenal) — передня: білатерально ≈2 см латеральніше пупка, трохи нижче; задня: між поперечними відростками Th11–Th12 + Нирки (Kidney) — передня: на рівні пупка вздовж краю прямого м'яза живота; задня: між поперечними відростками Th12–L1</t>
  </si>
  <si>
    <t>Послідовна пальпація точок «Наднирники» та «Нирки» орієнтує лікаря щодо можливого поєднаного коморбідного залучення осей — гіпоталамо-гіпофізарно-надниркова (HPA) вісь, стрес-реактивність і системне запалення та водно-електролітний баланс і ренін-ангіотензинову регуляцію АТ — на фоні «Грижа МХД». Позитивна реакція хоча б в одній точці — підстава для цілеспрямованого уточнення: кортизол (ранковий/добовий ритм), АКТГ, електроліти; креатинін, СКФ, електроліти, загальний аналіз сечі. Результат пальпації є попереднім орієнтиром і потребує клініко-лабораторного підтвердження.</t>
  </si>
  <si>
    <t>Етіології: тривала протрузія; травма; вікові зміни</t>
  </si>
  <si>
    <t>Першопричини: розрив фіброзного кільця; компресія нервів; хронічний запальний каскад</t>
  </si>
  <si>
    <t>Jiaji</t>
  </si>
  <si>
    <t>Задня поверхня стегна</t>
  </si>
  <si>
    <t>Нижній поперек + задня поверхня стегна</t>
  </si>
  <si>
    <t>DU4, BL23, BL36–BL40, нижній живіт (KI)</t>
  </si>
  <si>
    <t>Хронічна компресія → системне прогрівання глибоких резервів</t>
  </si>
  <si>
    <t>SP9</t>
  </si>
  <si>
    <t>EX-HN3</t>
  </si>
  <si>
    <t>Осьова: GV4 (Mingmen, тонізує Ян Нирок, зігріває поперек); Локальна: BL40 (охолоджує кров, знеболює поперек/ногу); Вегетативна: SP6 (SP/LR/KI, тазова/вегетативна регуляція); Фасціальна: SP9 (осушує Вологу, антинабрякова); Підтримуюча: EX-HN3 (підтримка/анальгезія); Рефлекторно‑кінцева: BL60 (Jing‑River UB — «аспірин меридіанів», біль уздовж спини/шиї)</t>
  </si>
  <si>
    <t>Остеохондроз</t>
  </si>
  <si>
    <t>дегенеративний</t>
  </si>
  <si>
    <t>Структурна деградація сегментів</t>
  </si>
  <si>
    <t>BL23, BL25, DU3, Ashi</t>
  </si>
  <si>
    <t>Обличчя: лінія хребта; Кисть: фаланги великого пальця; Стопа: внутрішня арка; Вухо: хребет</t>
  </si>
  <si>
    <t>Структурна вісь</t>
  </si>
  <si>
    <t>Shi-BL(L/C)</t>
  </si>
  <si>
    <t>Hara-Paravertebral-Chronic: протяжна зона 4×12 см ×2 ≈96 см²</t>
  </si>
  <si>
    <t>Повільний тиск + ЕМХ низьких</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</si>
  <si>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«Остеохондроз».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</si>
  <si>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Етіології: вікові зміни; статичні навантаження; м’язовий дисбаланс</t>
  </si>
  <si>
    <t>Першопричини: деградація хряща; порушення дифузного живлення; фасціальний спазм</t>
  </si>
  <si>
    <t>Плечовий пояс</t>
  </si>
  <si>
    <t>Протяжна паравертебральна зона Th–L</t>
  </si>
  <si>
    <t>DU3–DU4, Th4–Th6</t>
  </si>
  <si>
    <t>Фасціальне ремоделювання, зниження сегментарного імпедансу</t>
  </si>
  <si>
    <t>Ashi</t>
  </si>
  <si>
    <t>BL62</t>
  </si>
  <si>
    <t>LU5</t>
  </si>
  <si>
    <t>Осьова: GV4 (Mingmen, тонізує Ян Нирок, зігріває поперек); Локальна: Ashi (локальний вплив); Вегетативна: SP6 (SP/LR/KI, тазова/вегетативна регуляція); Фасціальна: BL62 (відкриває Ян‑цяо‑май, стабілізує гомілково‑ступневий вузол); Підтримуюча: EX-HN3 (підтримка/анальгезія); Рефлекторно‑кінцева: LU5 (He‑Sea LU — очищує жар/флегму)</t>
  </si>
  <si>
    <t>Артеріальна гіпертензія</t>
  </si>
  <si>
    <t>системно-вегетативний</t>
  </si>
  <si>
    <t>HT – KI – DU</t>
  </si>
  <si>
    <t>Вісь серце–нирки + центр</t>
  </si>
  <si>
    <t>вегетативний</t>
  </si>
  <si>
    <t>BL15, BL23, GV20, KI3, ST36</t>
  </si>
  <si>
    <t>Обличчя: міжбрів’я; Кисть: центр долоні; Стопа: зона серця (ліва); Вухо: серце + симпатик</t>
  </si>
  <si>
    <t>Центр + ВНС</t>
  </si>
  <si>
    <t>Shi-Cranio + Shi-Hara(KI)</t>
  </si>
  <si>
    <t>Hara-Cranial-Vertex (GV20): коло 4 см ≈12–15 см²; Hara-Lower-Abdomen (KI): 5×7 см ≈35 см²</t>
  </si>
  <si>
    <t>Заспокоєння ВНС</t>
  </si>
  <si>
    <t>Нирки (Kidney) — передня: на рівні пупка вздовж краю прямого м'яза живота; задня: між поперечними відростками Th12–L1 + Наднирники (Adrenal) — передня: білатерально ≈2 см латеральніше пупка, трохи нижче; задня: між поперечними відростками Th11–Th12</t>
  </si>
  <si>
    <t>Послідовна пальпація точок «Нирки» та «Наднирники» орієнтує лікаря щодо можливого поєднаного коморбідного залучення осей — водно-електролітний баланс і ренін-ангіотензинову регуляцію АТ та гіпоталамо-гіпофізарно-надниркова (HPA) вісь, стрес-реактивність і системне запалення — на фоні «Артеріальна гіпертензія». Позитивна реакція хоча б в одній точці — підстава для цілеспрямованого уточнення: креатинін, СКФ, електроліти, загальний аналіз сечі; кортизол (ранковий/добовий ритм), АКТГ, електроліти. Результат пальпації є попереднім орієнтиром і потребує клініко-лабораторного підтвердження.</t>
  </si>
  <si>
    <t>Етіології: хронічний стрес; спадковість; метаболічні порушення</t>
  </si>
  <si>
    <t>Першопричини: дисбаланс ВНС; судинний спазм; порушення ренін-ангіотензинової регуляції</t>
  </si>
  <si>
    <t>Шия (бокові ланцюги)</t>
  </si>
  <si>
    <t>Паравертебрально Th5–Th9</t>
  </si>
  <si>
    <t>Верхній центр + грудний відділ</t>
  </si>
  <si>
    <t>GV20 (непряма), Th5–Th9, нижній живіт (KI)</t>
  </si>
  <si>
    <t>Заспокоєння ВНС, зниження судинного спазму</t>
  </si>
  <si>
    <t>Під аплікатор: нейтральний УЗ‑гель; не застосовувати НПЗП/розігріваючі гелі у прекардіальній зоні; контроль АТ.</t>
  </si>
  <si>
    <t>Корекція кардіо‑терапії за протоколами (АГ/ІХС/ХСН); уникати зайвих НПЗП (ризик ↑АТ); перевага топічних засобів при болю. Контроль АТ.</t>
  </si>
  <si>
    <t>Алое, календула (нейтральні)</t>
  </si>
  <si>
    <t>Часник, глід, зелений чай, буряк</t>
  </si>
  <si>
    <t>CV6</t>
  </si>
  <si>
    <t>PC6</t>
  </si>
  <si>
    <t>LV13</t>
  </si>
  <si>
    <t>KI1</t>
  </si>
  <si>
    <t>Осьова: CV6 (зміцнює Ці, тонус і перистальтика); Локальна: Ashi (локальний вплив); Вегетативна: PC6 (розкриває грудну клітку, антиеметичний, заспокоює Шень); Фасціальна: LV13 (вплив на SP/LR, фасція передньобокова); Підтримуюча: KI1 («заземлює», опускає надлишковий Ян); Рефлекторно‑кінцева: BL60 (Jing‑River UB — «аспірин меридіанів», біль уздовж спини/шиї)</t>
  </si>
  <si>
    <t>EX-B2 (Jiaji Th4–Th8)</t>
  </si>
  <si>
    <t>BL17 + SI11</t>
  </si>
  <si>
    <t>BL17</t>
  </si>
  <si>
    <t>LI4 + TE5</t>
  </si>
  <si>
    <t>1) Грудні сегменти, симпатична ланка · 2) Ромбоподібні й підостьовий: міжлопатковий патерн · 3) Back-Shu Нирок · 4) Hui-точка крові — гемодинамічна ланка · 5) Bai-hui та Yin-tang: базова антистрес-вегетативна пара · 6) Дистальна пара верхньої частини тіла; Су-Джок — відповідна зона на КИСТІ</t>
  </si>
  <si>
    <t>Грудний</t>
  </si>
  <si>
    <t>Ішемічна хвороба серця (функц.)</t>
  </si>
  <si>
    <t>кардіо-вегетативний</t>
  </si>
  <si>
    <t>HT – PC – KI</t>
  </si>
  <si>
    <t>Кардіальна регуляція + стабілізація</t>
  </si>
  <si>
    <t>ІХС (функц.)</t>
  </si>
  <si>
    <t>BL15, PC6, GV20, KI3</t>
  </si>
  <si>
    <t>Обличчя: ліве крило носа; Кисть: тенар; Стопа: подушечка великого пальця; Вухо: серце</t>
  </si>
  <si>
    <t>Кардіальна вісь</t>
  </si>
  <si>
    <t>Shi-Cranio + Shi-Hara(HT)</t>
  </si>
  <si>
    <t>Hara-Precordial-HT: овал 6×7 см ≈40 см²; Hara-Upper-Thoracic-T4–T6: 3×6 см ×2 ≈36 см²</t>
  </si>
  <si>
    <t>Стабілізація ритму</t>
  </si>
  <si>
    <t>Серце (Heart) — передня: 2-е міжребер'я зліва біля грудини; задня: Th2 паравертебрально зліва + Наднирники (Adrenal) — передня: білатерально ≈2 см латеральніше пупка, трохи нижче; задня: між поперечними відростками Th11–Th12</t>
  </si>
  <si>
    <t>Послідовна пальпація точок «Серце» та «Наднирники» орієнтує лікаря щодо можливого поєднаного коморбідного залучення осей — кардіальну вегетативну регуляцію та гіпоталамо-гіпофізарно-надниркова (HPA) вісь, стрес-реактивність і системне запалення — на фоні «Ішемічна хвороба серця (функц.)». Позитивна реакція хоча б в одній точці — підстава для цілеспрямованого уточнення: ЕКГ, АТ, за показами — ЕхоКГ; кортизол (ранковий/добовий ритм), АКТГ, електроліти. Результат пальпації є попереднім орієнтиром і потребує клініко-лабораторного підтвердження.</t>
  </si>
  <si>
    <t>Етіології: стрес; гіподинамія; вегетативні розлади</t>
  </si>
  <si>
    <t>Першопричини: коронарний спазм; вегетативна дизрегуляція; зниження адаптації міокарда</t>
  </si>
  <si>
    <t>Передня грудна клітка</t>
  </si>
  <si>
    <t>Передня грудна клітка + Th4–Th6</t>
  </si>
  <si>
    <t>HT-зона (непрямо), Th4–Th6, ST36</t>
  </si>
  <si>
    <t>Покращення коронарної адаптації та трофіки міокарда</t>
  </si>
  <si>
    <t>Часник, омега-рослинні, зелений чай</t>
  </si>
  <si>
    <t>GV24</t>
  </si>
  <si>
    <t>SP4</t>
  </si>
  <si>
    <t>Осьова: CV6 (зміцнює Ці, тонус і перистальтика); Локальна: Ashi (локальний вплив); Вегетативна: PC6 (розкриває грудну клітку, антиеметичний, заспокоює Шень); Фасціальна: SP9 (осушує Вологу, антинабрякова); Підтримуюча: GV24 (заспокоює Шень, фронтальний біль); Рефлекторно‑кінцева: SP4 (активує Chong‑mai (з PC6), ШКТ)</t>
  </si>
  <si>
    <t>BL15</t>
  </si>
  <si>
    <t>1) Грудні сегменти, симпатична ланка · 2) Ромбоподібні й підостьовий: міжлопатковий патерн · 3) Back-Shu Серця · 4) Hui-точка крові — гемодинамічна ланка · 5) Bai-hui та Yin-tang: базова антистрес-вегетативна пара · 6) Дистальна пара верхньої частини тіла; Су-Джок — відповідна зона на КИСТІ</t>
  </si>
  <si>
    <t>Аритмія (функц.)</t>
  </si>
  <si>
    <t>нейровегетативний</t>
  </si>
  <si>
    <t>HT – PC</t>
  </si>
  <si>
    <t>Регуляція ритму через ЦНС</t>
  </si>
  <si>
    <t>Аритмія</t>
  </si>
  <si>
    <t>HT7, PC6, GV20</t>
  </si>
  <si>
    <t>Обличчя: міжбрів’я; Кисть: центр долоні; Стопа: серцева зона; Вухо: серце</t>
  </si>
  <si>
    <t>Ритм</t>
  </si>
  <si>
    <t>Shi-Cranio</t>
  </si>
  <si>
    <t>Hara-Cranial-Temporal-Frontal: двобічно 4×5 см ×2 ≈40 см²</t>
  </si>
  <si>
    <t>Антиаритмічний контур</t>
  </si>
  <si>
    <t>Серце (Heart) — передня: 2-е міжребер'я зліва біля грудини; задня: Th2 паравертебрально зліва + Щитоподібна/паращитоподібні залози (Thyroid/Parathyroid) — передня: 2-е міжребер'я біля краю грудини; задня: паравертебрально на рівні C2–C3</t>
  </si>
  <si>
    <t>Послідовна пальпація точок «Серце» та «Щитоподібна/паращитоподібні залози» орієнтує лікаря щодо можливого поєднаного коморбідного залучення осей — кардіальну вегетативну регуляцію та тиреоїдний метаболічний статус та кальцієвий обмін — на фоні «Аритмія (функц.)». Позитивна реакція хоча б в одній точці — підстава для цілеспрямованого уточнення: ЕКГ, АТ, за показами — ЕхоКГ; ТТГ, вільний Т4, за потреби кальцій/ПТГ. Результат пальпації є попереднім орієнтиром і потребує клініко-лабораторного підтвердження.</t>
  </si>
  <si>
    <t>Етіології: психоемоційне напруження; вегетативний дисбаланс; гормональні коливання</t>
  </si>
  <si>
    <t>Першопричини: порушення автоматизму; дискоординація симпато-парасимпатичної системи</t>
  </si>
  <si>
    <t>Краніо-цервікальна зона</t>
  </si>
  <si>
    <t>GV20, PC6, SCM (бокові ланцюги)</t>
  </si>
  <si>
    <t>Синхронізація симпато-парасимпатичних контурів</t>
  </si>
  <si>
    <t>Імбир, куркума, зелений чай, ягоди</t>
  </si>
  <si>
    <t>Осьова: CV6 (зміцнює Ці, тонус і перистальтика); Локальна: Ashi (локальний вплив); Вегетативна: PC6 (розкриває грудну клітку, антиеметичний, заспокоює Шень); Фасціальна: SP9 (осушує Вологу, антинабрякова); Підтримуюча: KI1 («заземлює», опускає надлишковий Ян); Рефлекторно‑кінцева: BL60 (Jing‑River UB — «аспірин меридіанів», біль уздовж спини/шиї)</t>
  </si>
  <si>
    <t>EX-B2 (Jiaji C4–C7)</t>
  </si>
  <si>
    <t>GB21 + BL10</t>
  </si>
  <si>
    <t>1) Сегментарна регуляція шийних корінців · 2) Верхня трапеція й підпотиличні (Travell): класичний цервікогенний патерн · 3) Back-Shu Серця · 4) Hui-точка крові — гемодинамічна ланка · 5) Bai-hui та Yin-tang: базова антистрес-вегетативна пара · 6) Дистальна пара верхньої частини тіла; Су-Джок — відповідна зона на КИСТІ</t>
  </si>
  <si>
    <t>Шийний</t>
  </si>
  <si>
    <t>Хронічна серцева недостатність (I–II)</t>
  </si>
  <si>
    <t>системно-хронічний</t>
  </si>
  <si>
    <t>HT – KI – ST</t>
  </si>
  <si>
    <t>Підтримка адаптаційних контурів</t>
  </si>
  <si>
    <t>ХСН I–II</t>
  </si>
  <si>
    <t>системний</t>
  </si>
  <si>
    <t>BL15, KI3, ST36</t>
  </si>
  <si>
    <t>Обличчя: підочна зона; Кисть: центр долоні; Стопа: арка; Вухо: нирки</t>
  </si>
  <si>
    <t>Резерви</t>
  </si>
  <si>
    <t>Shi-Hara(KI)</t>
  </si>
  <si>
    <t>Hara-Lower-Abdomen-Central: 6×9 см ≈54 см²; додатково Hara-Inguinal-Medial: 3×5 см ×2 ≈30 см²</t>
  </si>
  <si>
    <t>Підтримка резервів</t>
  </si>
  <si>
    <t>Серце (Heart) — передня: 2-е міжребер'я зліва біля грудини; задня: Th2 паравертебрально зліва + Нирки (Kidney) — передня: на рівні пупка вздовж краю прямого м'яза живота; задня: між поперечними відростками Th12–L1</t>
  </si>
  <si>
    <t>Послідовна пальпація точок «Серце» та «Нирки» орієнтує лікаря щодо можливого поєднаного коморбідного залучення осей — кардіальну вегетативну регуляцію та водно-електролітний баланс і ренін-ангіотензинову регуляцію АТ — на фоні «Хронічна серцева недостатність (I–II)». Позитивна реакція хоча б в одній точці — підстава для цілеспрямованого уточнення: ЕКГ, АТ, за показами — ЕхоКГ; креатинін, СКФ, електроліти, загальний аналіз сечі. Результат пальпації є попереднім орієнтиром і потребує клініко-лабораторного підтвердження.</t>
  </si>
  <si>
    <t>Етіології: ІХС; гіпертензія; метаболічні порушення</t>
  </si>
  <si>
    <t>Першопричини: зниження насосної функції; енергетичний дефіцит міокарда</t>
  </si>
  <si>
    <t>Діафрагмальна зона</t>
  </si>
  <si>
    <t>Гомілка (медіально)</t>
  </si>
  <si>
    <t>Діафрагма + нижній живіт + гомілка</t>
  </si>
  <si>
    <t>Реберна дуга, KI/ST-зона, KI–SP (гомілка)</t>
  </si>
  <si>
    <t>Підтримка насосно-дихальної синергії та периферичних резервів</t>
  </si>
  <si>
    <t>SI14</t>
  </si>
  <si>
    <t>Осьова: CV6 (зміцнює Ці, тонус і перистальтика); Локальна: Ashi (локальний вплив); Вегетативна: PC6 (розкриває грудну клітку, антиеметичний, заспокоює Шень); Фасціальна: LV13 (вплив на SP/LR, фасція передньобокова); Підтримуюча: GV24 (заспокоює Шень, фронтальний біль); Рефлекторно‑кінцева: SI14 (перикапсулярні тканини лопатки)</t>
  </si>
  <si>
    <t>EX-B2 (Jiaji L5–S1)</t>
  </si>
  <si>
    <t>BL57 + BL56</t>
  </si>
  <si>
    <t>1) Сегменти великогомілкового/малогомілкового нервів · 2) Литковий м’яз: судоми й ахіллодинія · 3) Back-Shu Серця · 4) Hui-точка крові — гемодинамічна ланка · 5) Bai-hui та Yin-tang: базова антистрес-вегетативна пара · 6) Дистальна пара нижньої частини тіла; Су-Джок — відповідна зона на СТОПІ</t>
  </si>
  <si>
    <t>Гомілка/стопа</t>
  </si>
  <si>
    <t>Мігрень</t>
  </si>
  <si>
    <t>краніально-іррадіюючий</t>
  </si>
  <si>
    <t>GB – TB – DU</t>
  </si>
  <si>
    <t>Краніальна провідність</t>
  </si>
  <si>
    <t>краніальний</t>
  </si>
  <si>
    <t>GB20, TB5, LI4, GV20</t>
  </si>
  <si>
    <t>Обличчя: скроні; Кисть: між I–II пальцями; Стопа: латеральний край; Вухо: скроня</t>
  </si>
  <si>
    <t>Краніо-провідна</t>
  </si>
  <si>
    <t>Shi-Neuro + Shi-Cranio</t>
  </si>
  <si>
    <t>Hara-Occipital-C0–C2: 4×6 см ×2 ≈48 см²; Hara-Vertex: 4 см коло ≈12 см²</t>
  </si>
  <si>
    <t>Розвантаження перед ЕМХ</t>
  </si>
  <si>
    <t>Печінка (Liver) — передня: 5–6-е міжребер'я справа; задня: Th5–Th6 паравертебрально справа</t>
  </si>
  <si>
    <t>Пальпаторна оцінка точки «Печінка» дає лікарю попередній орієнтир на детоксикаційно-метаболічну функцію печінки як можливий коморбідний фон при «Мігрень». Позитивна ознака (ущільнення/болючість) — привід уточнити діагноз додатково: АЛТ, АСТ, ГГТ, УЗД печінки. Пальпаторний тест не замінює лабораторно-інструментальну діагностику.</t>
  </si>
  <si>
    <t>Етіології: нейросудинна лабільність; гормональні коливання; стрес</t>
  </si>
  <si>
    <t>Першопричини: судинна дизрегуляція; центральна сенситизація; тригемінальна активація</t>
  </si>
  <si>
    <t>Верхні трапеції + підпотиличні</t>
  </si>
  <si>
    <t>Підпотилиця + трапеції</t>
  </si>
  <si>
    <t>C0–C2, верхні трапеції, GV20</t>
  </si>
  <si>
    <t>Зменшення венозного застою, пригнічення тригемінальної активації</t>
  </si>
  <si>
    <t>Під аплікатор: нейтральний УЗ‑гель на краніо‑цервікальній зоні; можна 2–5% ментол‑гель як контріритант на тригерні точки (уникати слизових).</t>
  </si>
  <si>
    <t>Профілактика: магній 400–600 мг/добу, рибофлавін 400 мг/добу, коензим Q10 100–300 мг/добу (обговорити взаємодії); корекція сну/знеболення за схемою лікаря.</t>
  </si>
  <si>
    <t>Ментол, евкаліпт, лаванда, розмарин</t>
  </si>
  <si>
    <t>Імбир, ромашка, м’ята, шпинат, броколі</t>
  </si>
  <si>
    <t>GV20</t>
  </si>
  <si>
    <t>LI4</t>
  </si>
  <si>
    <t>TE5</t>
  </si>
  <si>
    <t>Осьова: GV20 (піднімає Ян, заспокоює Шень, прояснює свідомість); Локальна: GB20 (розсіює «вітер», звільняє голову/очі, шия); Вегетативна: SP6 (SP/LR/KI, тазова/вегетативна регуляція); Фасціальна: SP9 (осушує Вологу, антинабрякова); Підтримуюча: LI4 (звільняє поверхню, універсальний анальгетик); Рефлекторно‑кінцева: TE5 (звільняє Shaoyang, головний біль/верхня кінцівка)</t>
  </si>
  <si>
    <t>EX-B2 (Jiaji C1–C3) + BL10</t>
  </si>
  <si>
    <t>ST6 + EX-HN5</t>
  </si>
  <si>
    <t>BL18</t>
  </si>
  <si>
    <t>LI11</t>
  </si>
  <si>
    <t>1) Верхньошийна сегментарна аферентація до трійчасто-цервікального ядра · 2) Жувальний і скроневий м’язи (Travell): відображений біль у голову · 3) Back-Shu Печінки · 4) He-Sea LI — базова протизапально-мікроциркуляторна точка · 5) Bai-hui та Yin-tang: базова антистрес-вегетативна пара · 6) Дистальна пара верхньої частини тіла; Су-Джок — відповідна зона на КИСТІ</t>
  </si>
  <si>
    <t>Голова/обличчя</t>
  </si>
  <si>
    <t>Головний біль напруги</t>
  </si>
  <si>
    <t>центрально-м’язовий</t>
  </si>
  <si>
    <t>DU – BL</t>
  </si>
  <si>
    <t>Центральна + шийна зона</t>
  </si>
  <si>
    <t>ГБ напруги</t>
  </si>
  <si>
    <t>м’язовий</t>
  </si>
  <si>
    <t>GV20, BL10, Ashi</t>
  </si>
  <si>
    <t>Обличчя: лоб; Кисть: тильна поверхня; Стопа: центр; Вухо: потилиця</t>
  </si>
  <si>
    <t>Центральна</t>
  </si>
  <si>
    <t>Shi-Neuro</t>
  </si>
  <si>
    <t>Hara-Cervical-Posterior: комірцева зона 5×10 см ≈50 см²</t>
  </si>
  <si>
    <t>М’язове зняття</t>
  </si>
  <si>
    <t>Наднирники (Adrenal) — передня: білатерально ≈2 см латеральніше пупка, трохи нижче; задня: між поперечними відростками Th11–Th12 + Краніо-цервікальна (церебральна) вісь — передня: верхній край лобної кістки; задня: субокципітальна зона C0–C1</t>
  </si>
  <si>
    <t>Послідовна пальпація точок «Наднирники» та «Краніо-цервікальна» орієнтує лікаря щодо можливого поєднаного коморбідного залучення осей — гіпоталамо-гіпофізарно-надниркова (HPA) вісь, стрес-реактивність і системне запалення та краніальну гемо- та ліквородинаміку — на фоні «Головний біль напруги». Позитивна реакція хоча б в одній точці — підстава для цілеспрямованого уточнення: кортизол (ранковий/добовий ритм), АКТГ, електроліти; неврологічний огляд, за показами нейровізуалізація. Результат пальпації є попереднім орієнтиром і потребує клініко-лабораторного підтвердження.</t>
  </si>
  <si>
    <t>Етіології: психоемоційне перенапруження; шийний м’язовий спазм</t>
  </si>
  <si>
    <t>Першопричини: фасціальний гіпертонус; центральна ноцицептивна фіксація</t>
  </si>
  <si>
    <t>Комірцева зона + плечі</t>
  </si>
  <si>
    <t>C3–Th2, плечовий пояс, міжлопатково</t>
  </si>
  <si>
    <t>Зняття фасціального гіпертонусу та центральної ноцицептивної фіксації</t>
  </si>
  <si>
    <t>ST40</t>
  </si>
  <si>
    <t>Осьова: GV20 (піднімає Ян, заспокоює Шень, прояснює свідомість); Локальна: GB20 (розсіює «вітер», звільняє голову/очі, шия); Вегетативна: SP6 (SP/LR/KI, тазова/вегетативна регуляція); Фасціальна: ST40 (перетворює слиз/флегму); Підтримуюча: LI4 (звільняє поверхню, універсальний анальгетик); Рефлекторно‑кінцева: TE5 (звільняє Shaoyang, головний біль/верхня кінцівка)</t>
  </si>
  <si>
    <t>1) Верхньошийна сегментарна аферентація до трійчасто-цервікального ядра · 2) Жувальний і скроневий м’язи (Travell): відображений біль у голову · 3) Back-Shu Нирок — вісь гіпоталамус–гіпофіз–наднирники · 4) He-Sea LI — базова протизапально-мікроциркуляторна точка · 5) Bai-hui та Yin-tang: базова антистрес-вегетативна пара · 6) Дистальна пара верхньої частини тіла; Су-Джок — відповідна зона на КИСТІ</t>
  </si>
  <si>
    <t>Депресивний синдром</t>
  </si>
  <si>
    <t>нейропсихічний</t>
  </si>
  <si>
    <t>LV – DU – PC</t>
  </si>
  <si>
    <t>Емоційна та адаптивна регуляція</t>
  </si>
  <si>
    <t>центрально-адаптивний</t>
  </si>
  <si>
    <t>GV20, LV3, PC6, ST36</t>
  </si>
  <si>
    <t>Обличчя: лоб + міжбрів’я; Кисть: центр долоні; Стопа: арка; Вухо: мозок + антистрес</t>
  </si>
  <si>
    <t>ЦНС + адаптація</t>
  </si>
  <si>
    <t>Shi-Cranio + Shi-Hara(LV)</t>
  </si>
  <si>
    <t>Лобно-тім’яна 5×6≈30 + правий Hara 6×8≈48</t>
  </si>
  <si>
    <t>Зниження центральної гіперактивації → ЕМХ → Су-Джок (великий палець руки, серце)</t>
  </si>
  <si>
    <t>Щитоподібна/паращитоподібні залози (Thyroid/Parathyroid) — передня: 2-е міжребер'я біля краю грудини; задня: паравертебрально на рівні C2–C3 + Наднирники (Adrenal) — передня: білатерально ≈2 см латеральніше пупка, трохи нижче; задня: між поперечними відростками Th11–Th12</t>
  </si>
  <si>
    <t>Послідовна пальпація точок «Щитоподібна/паращитоподібні залози» та «Наднирники» орієнтує лікаря щодо можливого поєднаного коморбідного залучення осей — тиреоїдний метаболічний статус та кальцієвий обмін та гіпоталамо-гіпофізарно-надниркова (HPA) вісь, стрес-реактивність і системне запалення — на фоні «Депресивний синдром». Позитивна реакція хоча б в одній точці — підстава для цілеспрямованого уточнення: ТТГ, вільний Т4, за потреби кальцій/ПТГ; кортизол (ранковий/добовий ритм), АКТГ, електроліти. Результат пальпації є попереднім орієнтиром і потребує клініко-лабораторного підтвердження.</t>
  </si>
  <si>
    <t>Етіології: хронічний стрес; нейромедіаторні зрушення</t>
  </si>
  <si>
    <t>Першопричини: дисфункція серотонін-дофамінових шляхів; гіпоталамічна дизрегуляція</t>
  </si>
  <si>
    <t>Живіт (Hara-зони)</t>
  </si>
  <si>
    <t>Діафрагмальна зона + живіт (Hara)</t>
  </si>
  <si>
    <t>CV12, CV6, ST36, нижній Hara (LV/SP)</t>
  </si>
  <si>
    <t>Зниження центральної гіперактивації, нормалізація гіпоталамо-лімбічної регуляції, підвищення адаптаційних резервів</t>
  </si>
  <si>
    <t>Під аплікатор: нейтральний УЗ‑гель; можливе додавання НПЗП‑гелю при локальному запаленні (за відсутності протипоказів).</t>
  </si>
  <si>
    <t>Ад’ювантна фармакотерапія — індивідуально за нозологією; уникати поліпрагмазії; перевірка протипоказів та взаємодій.</t>
  </si>
  <si>
    <t>Календула, ромашка (універсальна база)</t>
  </si>
  <si>
    <t>HT7</t>
  </si>
  <si>
    <t>BL36</t>
  </si>
  <si>
    <t>Осьова: CV6 (зміцнює Ці, тонус і перистальтика); Локальна: Ashi (локальний вплив); Вегетативна: HT7 (заспокоює Шень, нормалізує сон); Фасціальна: GB34 (Hui сухожиль); Підтримуюча: EX-HN3 (підтримка/анальгезія); Рефлекторно‑кінцева: BL36 (задня поверхня стегна, ішіалгія)</t>
  </si>
  <si>
    <t>EX-B2 (Jiaji Th7–Th12)</t>
  </si>
  <si>
    <t>GB21 + BL43</t>
  </si>
  <si>
    <t>BL13</t>
  </si>
  <si>
    <t>BL44 + GV20</t>
  </si>
  <si>
    <t>LI4 + LR3</t>
  </si>
  <si>
    <t>1) Нижньогрудні сегменти — вегетативна інтеграція · 2) Трапеція й Gao-huang: генералізований міофасціальний патерн при хронізації · 3) Шийно-грудний перехід; уникнуто CV22 через близькість трахеї · 4) He-Sea LI — базова протизапально-мікроциркуляторна точка · 5) Shen-tang і Bai-hui: підіймання ян при депресивному компоненті · 6) «Чотири брами» (Si Guan) — системна регуляція; Су-Джок — кисть і стопа</t>
  </si>
  <si>
    <t>Системний</t>
  </si>
  <si>
    <t>Тривожний розлад</t>
  </si>
  <si>
    <t>HT – KI</t>
  </si>
  <si>
    <t>Серце–нирки–ЦНС</t>
  </si>
  <si>
    <t>HT7, KI3, GV20</t>
  </si>
  <si>
    <t>Обличчя: міжбрів’я; Кисть: тенар; Стопа: центр; Вухо: симпатик</t>
  </si>
  <si>
    <t>ВНС</t>
  </si>
  <si>
    <t>Центральна краніальна 6×6≈36</t>
  </si>
  <si>
    <t>Седативний вплив перед ЕМХ, фіксація ефекту через вухо (Shenmen)</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</si>
  <si>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«Тривожний розлад».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</si>
  <si>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Етіології: психоемоційна травма; перевтома</t>
  </si>
  <si>
    <t>Першопричини: гіперактивація симпатичної НС; зниження кортикального контролю</t>
  </si>
  <si>
    <t>Долоня (центр)</t>
  </si>
  <si>
    <t>Загальний лімфодренаж (вуха, шия)</t>
  </si>
  <si>
    <t>Центр долоні + краніальна зона</t>
  </si>
  <si>
    <t>PC8, GV20 (непряма), вушний Shenmen</t>
  </si>
  <si>
    <t>Седативний вплив, зменшення симпатичної гіперактивації, стабілізація ВНС</t>
  </si>
  <si>
    <t>Осьова: CV6 (зміцнює Ці, тонус і перистальтика); Локальна: Ashi (локальний вплив); Вегетативна: SP6 (SP/LR/KI, тазова/вегетативна регуляція); Фасціальна: BL60 (Jing‑River UB — «аспірин меридіанів», біль уздовж спини/шиї); Підтримуюча: LI4 (звільняє поверхню, універсальний анальгетик); Рефлекторно‑кінцева: BL60 (Jing‑River UB — «аспірин меридіанів», біль уздовж спини/шиї)</t>
  </si>
  <si>
    <t>BL44 + HT7</t>
  </si>
  <si>
    <t>1) Нижньогрудні сегменти — вегетативна інтеграція · 2) Трапеція й Gao-huang: генералізований міофасціальний патерн при хронізації · 3) Back-Shu Нирок — вісь гіпоталамус–гіпофіз–наднирники · 4) He-Sea LI — базова протизапально-мікроциркуляторна точка · 5) Shen-tang («зала Шень») і Shen-men: заспокоєння Шень при тривозі · 6) «Чотири брами» (Si Guan) — системна регуляція; Су-Джок — кисть і стопа</t>
  </si>
  <si>
    <t>Інсомнія</t>
  </si>
  <si>
    <t>центрально-вегетативний</t>
  </si>
  <si>
    <t>HT – DU – KI</t>
  </si>
  <si>
    <t>Ритм–сон–відновлення</t>
  </si>
  <si>
    <t>циркадний</t>
  </si>
  <si>
    <t>HT7, GV20, KI3</t>
  </si>
  <si>
    <t>Обличчя: лоб; Кисть: центр; Стопа: п’ята; Вухо: шень-мень</t>
  </si>
  <si>
    <t>Потилично-центральна 5×7≈35</t>
  </si>
  <si>
    <t>Підготовка до нічного режиму ЕМХ</t>
  </si>
  <si>
    <t>Наднирники (Adrenal) — передня: білатерально ≈2 см латеральніше пупка, трохи нижче; задня: між поперечними відростками Th11–Th12 + Щитоподібна/паращитоподібні залози (Thyroid/Parathyroid) — передня: 2-е міжребер'я біля краю грудини; задня: паравертебрально на рівні C2–C3</t>
  </si>
  <si>
    <t>Послідовна пальпація точок «Наднирники» та «Щитоподібна/паращитоподібні залози» орієнтує лікаря щодо можливого поєднаного коморбідного залучення осей — гіпоталамо-гіпофізарно-надниркова (HPA) вісь, стрес-реактивність і системне запалення та тиреоїдний метаболічний статус та кальцієвий обмін — на фоні «Інсомнія». Позитивна реакція хоча б в одній точці — підстава для цілеспрямованого уточнення: кортизол (ранковий/добовий ритм), АКТГ, електроліти; ТТГ, вільний Т4, за потреби кальцій/ПТГ. Результат пальпації є попереднім орієнтиром і потребує клініко-лабораторного підтвердження.</t>
  </si>
  <si>
    <t>Етіології: стрес; порушення режиму; хронічний біль</t>
  </si>
  <si>
    <t>Першопричини: дизрегуляція циркадних ритмів; гіперактивація ЦНС</t>
  </si>
  <si>
    <t>Підошва стопи (середина)</t>
  </si>
  <si>
    <t>Підпотилична зона + стопа</t>
  </si>
  <si>
    <t>GV20, BL10, KI1, п’яткова зона</t>
  </si>
  <si>
    <t>Відновлення циркадних ритмів, гальмування ЦНС, підготовка до сну</t>
  </si>
  <si>
    <t>Осьова: CV6 (зміцнює Ці, тонус і перистальтика); Локальна: Ashi (локальний вплив); Вегетативна: HT7 (заспокоює Шень, нормалізує сон); Фасціальна: GB34 (Hui сухожиль); Підтримуюча: EX-HN3 (підтримка/анальгезія); Рефлекторно‑кінцева: BL60 (Jing‑River UB — «аспірин меридіанів», біль уздовж спини/шиї)</t>
  </si>
  <si>
    <t>BL44 + KI6</t>
  </si>
  <si>
    <t>1) Нижньогрудні сегменти — вегетативна інтеграція · 2) Трапеція й Gao-huang: генералізований міофасціальний патерн при хронізації · 3) Back-Shu Нирок — вісь гіпоталамус–гіпофіз–наднирники · 4) He-Sea LI — базова протизапально-мікроциркуляторна точка · 5) Shen-tang і Zhao-hai: інь-цяо-май, регуляція засинання · 6) «Чотири брами» (Si Guan) — системна регуляція; Су-Джок — кисть і стопа</t>
  </si>
  <si>
    <t>Цукровий діабет 2 типу</t>
  </si>
  <si>
    <t>метаболічний</t>
  </si>
  <si>
    <t>SP – ST – KI</t>
  </si>
  <si>
    <t>Обмін + енергетична вісь</t>
  </si>
  <si>
    <t>ЦД 2 типу</t>
  </si>
  <si>
    <t>ST36, SP6, CV12, KI3</t>
  </si>
  <si>
    <t>Обличчя: рот; Кисть: великий палець; Стопа: подушечка; Вухо: ендокрин</t>
  </si>
  <si>
    <t>Обмін</t>
  </si>
  <si>
    <t>Shi-Hara(SP)</t>
  </si>
  <si>
    <t>Hara-Middle-Abdomen: 7×9 ≈63</t>
  </si>
  <si>
    <t>Метаболічна стабілізація</t>
  </si>
  <si>
    <t>Підшлункова залоза (Pancreas) — передня: 7-е міжребер'я зліва; задня: Th7–Th8 паравертебрально зліва</t>
  </si>
  <si>
    <t>Пальпаторна оцінка точки «Підшлункова залоза» дає лікарю попередній орієнтир на екзо- та ендокринну функцію підшлункової залози як можливий коморбідний фон при «Цукровий діабет 2 типу». Позитивна ознака (болючість/ущільнення) — привід уточнити діагноз додатково: глюкоза/HbA1c, амілаза/ліпаза. Пальпаторний тест не замінює лабораторно-інструментальну діагностику.</t>
  </si>
  <si>
    <t>Етіології: ожиріння; спадковість; гіподинамія</t>
  </si>
  <si>
    <t>Першопричини: інсулінорезистентність; метаболічний дисбаланс</t>
  </si>
  <si>
    <t>Живіт (Hara) + медіальна гомілка</t>
  </si>
  <si>
    <t>CV12, CV9, ST36, SP6</t>
  </si>
  <si>
    <t>Метаболічна стабілізація, зменшення інсулінорезистентності, підтримка осі ST–SP–KI</t>
  </si>
  <si>
    <t>Під аплікатор: нейтральний УЗ‑гель; НПЗП‑гель локально лише при суглобово‑м’язовому болю; уникати на ділянках із нейропатичною втратою чутливості.</t>
  </si>
  <si>
    <t>Стандартна антигіперглікемічна терапія; при ДПН — лідокаїн‑пластир або капсаїцин 8%; системно: дулоксетин/прегабалін. Додатки — за лікарем.</t>
  </si>
  <si>
    <t>Календула, ромашка, алое</t>
  </si>
  <si>
    <t>Кориця, журавлина, зелений чай, льон</t>
  </si>
  <si>
    <t>ST36</t>
  </si>
  <si>
    <t>Осьова: CV6 (зміцнює Ці, тонус і перистальтика); Локальна: Ashi (локальний вплив); Вегетативна: SP6 (SP/LR/KI, тазова/вегетативна регуляція); Фасціальна: ST36 (тонізує Ці/Кров, імуномодуляція); Підтримуюча: GB20 (розсіює «вітер», звільняє голову/очі, шия); Рефлекторно‑кінцева: SP4 (активує Chong‑mai (з PC6), ШКТ)</t>
  </si>
  <si>
    <t>BL20</t>
  </si>
  <si>
    <t>BL20 + BL21</t>
  </si>
  <si>
    <t>1) Back-Shu ураженого органа (back-shu селезінки/підшлункової) · 2) Сегментарні паравертебральні тригери вісцеро-соматичного рефлексу · 3) Back-Shu Селезінки/Підшлункової · 4) Hui-точка крові — гемодинамічна ланка · 5) Bai-hui та Yin-tang: базова антистрес-вегетативна пара · 6) «Чотири брами» (Si Guan) — системна регуляція; Су-Джок — кисть і стопа</t>
  </si>
  <si>
    <t>Вісцеральний</t>
  </si>
  <si>
    <t>Метаболічний синдром</t>
  </si>
  <si>
    <t>ST – SP – KI</t>
  </si>
  <si>
    <t>ST36, SP6, BL23</t>
  </si>
  <si>
    <t>Те ж + арка стопи</t>
  </si>
  <si>
    <t>Стабілізація</t>
  </si>
  <si>
    <t>Shi-Hara(Central)</t>
  </si>
  <si>
    <t>Hara-Abdomen-Central: 8×10 ≈80</t>
  </si>
  <si>
    <t>Регуляція ВНС</t>
  </si>
  <si>
    <t>Підшлункова залоза (Pancreas) — передня: 7-е міжребер'я зліва; задня: Th7–Th8 паравертебрально зліва + Печінка (Liver) — передня: 5–6-е міжребер'я справа; задня: Th5–Th6 паравертебрально справа</t>
  </si>
  <si>
    <t>Послідовна пальпація точок «Підшлункова залоза» та «Печінка» орієнтує лікаря щодо можливого поєднаного коморбідного залучення осей — екзо- та ендокринну функцію підшлункової залози та детоксикаційно-метаболічну функцію печінки — на фоні «Метаболічний синдром». Позитивна реакція хоча б в одній точці — підстава для цілеспрямованого уточнення: глюкоза/HbA1c, амілаза/ліпаза; АЛТ, АСТ, ГГТ, УЗД печінки. Результат пальпації є попереднім орієнтиром і потребує клініко-лабораторного підтвердження.</t>
  </si>
  <si>
    <t>Етіології: переїдання; малорухливість; стрес</t>
  </si>
  <si>
    <t>Першопричини: системна інсулінорезистентність; хронічне запалення</t>
  </si>
  <si>
    <t>Пахвинна зона</t>
  </si>
  <si>
    <t>Центральний живіт + пахвинна зона</t>
  </si>
  <si>
    <t>CV6, CV9, BL23, пахвинні складки</t>
  </si>
  <si>
    <t>Системна регуляція обміну, вплив на лімфатичний та вегетативний компоненти</t>
  </si>
  <si>
    <t>SI15</t>
  </si>
  <si>
    <t>Осьова: CV6 (зміцнює Ці, тонус і перистальтика); Локальна: Ashi (локальний вплив); Вегетативна: SP6 (SP/LR/KI, тазова/вегетативна регуляція); Фасціальна: ST36 (тонізує Ці/Кров, імуномодуляція); Підтримуюча: KI1 («заземлює», опускає надлишковий Ян); Рефлекторно‑кінцева: SI15 (шийно‑паравертебрально C7–T1)</t>
  </si>
  <si>
    <t>1) Back-Shu ураженого органа (back-shu селезінки/підшлункової) · 2) Сегментарні паравертебральні тригери вісцеро-соматичного рефлексу · 3) Back-Shu Селезінки/Підшлункової · 4) He-Sea LI — базова протизапально-мікроциркуляторна точка · 5) Bai-hui та Yin-tang: базова антистрес-вегетативна пара · 6) «Чотири брами» (Si Guan) — системна регуляція; Су-Джок — кисть і стопа</t>
  </si>
  <si>
    <t>Хронічний бронхіт</t>
  </si>
  <si>
    <t>респіраторний</t>
  </si>
  <si>
    <t>LU – LI</t>
  </si>
  <si>
    <t>Легеневий сегмент + імунна вісь</t>
  </si>
  <si>
    <t>легеневий</t>
  </si>
  <si>
    <t>BL13, LU9, LI11, ST36</t>
  </si>
  <si>
    <t>Обличчя: ніс; Кисть: тенар; Стопа: подушечка; Вухо: легені</t>
  </si>
  <si>
    <t>Shi-Thoracic</t>
  </si>
  <si>
    <t>Hara-Scapular: 6×8 ≈48</t>
  </si>
  <si>
    <t>Дренаж</t>
  </si>
  <si>
    <t>Легені, верхня частка (Lung, upper lobe) — передня: 3-є міжребер'я; задня: Th3 паравертебрально</t>
  </si>
  <si>
    <t>Пальпаторна оцінка точки «Легені, верхня частка» дає лікарю попередній орієнтир на вентиляційний резерв верхніх часток легень як можливий коморбідний фон при «Хронічний бронхіт». Позитивна ознака (тканинна тугорухливість/болючість) — привід уточнити діагноз додатково: спірометрія, аускультація, SpO2. Пальпаторний тест не замінює лабораторно-інструментальну діагностику.</t>
  </si>
  <si>
    <t>Етіології: куріння; інфекції; забруднення повітря</t>
  </si>
  <si>
    <t>Першопричини: хронічне запалення слизової; бронхіальна гіперреактивність</t>
  </si>
  <si>
    <t>Міжреберні Th2–Th8</t>
  </si>
  <si>
    <t>Міжреберні зони + передня грудна клітка</t>
  </si>
  <si>
    <t>Th2–Th8, LU1, BL13</t>
  </si>
  <si>
    <t>Покращення дренажу, зменшення бронхіального запалення, активація легеневого сегмента</t>
  </si>
  <si>
    <t>Під аплікатор: лише нейтральний УЗ‑гель на грудній клітці/діафрагмі; фармкомпоненти не додавати.</t>
  </si>
  <si>
    <t>Базис: інгаляційні бронхолітики ± ІКС за GINA/GOLD; вакцинації (грип/пневмокок/RSV за показами). Місцеві НПЗП не додаємо на грудну клітку.</t>
  </si>
  <si>
    <t>Евкаліпт, сосна, чебрець (периферійно)</t>
  </si>
  <si>
    <t>Чебрець, імбир, часник, зелений чай</t>
  </si>
  <si>
    <t>CV17</t>
  </si>
  <si>
    <t>LU1</t>
  </si>
  <si>
    <t>LU7</t>
  </si>
  <si>
    <t>Осьова: CV17 (збирає Ці грудей, регулює дихання/ритм); Локальна: LU1 (Front‑Mu Легень — кашель, біль грудей); Вегетативна: LU7 (звільняє поверхню, відкриває Ren‑mai, кашель/головний біль); Фасціальна: SP9 (осушує Вологу, антинабрякова); Підтримуюча: EX-HN3 (підтримка/анальгезія); Рефлекторно‑кінцева: SP4 (активує Chong‑mai (з PC6), ШКТ)</t>
  </si>
  <si>
    <t>1) Грудні сегменти, симпатична ланка · 2) Ромбоподібні й підостьовий: міжлопатковий патерн · 3) Back-Shu Легень · 4) Hui-точка крові — гемодинамічна ланка · 5) Bai-hui та Yin-tang: базова антистрес-вегетативна пара · 6) Дистальна пара верхньої частини тіла; Су-Джок — відповідна зона на КИСТІ</t>
  </si>
  <si>
    <t>Бронхіальна астма (функц.)</t>
  </si>
  <si>
    <t>бронхоспастичний</t>
  </si>
  <si>
    <t>LU – KI</t>
  </si>
  <si>
    <t>Дихання + глибинна регуляція</t>
  </si>
  <si>
    <t>Астма (функц.)</t>
  </si>
  <si>
    <t>бронхоспазм</t>
  </si>
  <si>
    <t>BL13, KI3, LU7</t>
  </si>
  <si>
    <t>Те ж + ниркова зона вуха</t>
  </si>
  <si>
    <t>LU–KI</t>
  </si>
  <si>
    <t>Hara-Chest-Central: 7×8 ≈56</t>
  </si>
  <si>
    <t>Перед ЕМХ — релаксація</t>
  </si>
  <si>
    <t>Легені, верхня частка (Lung, upper lobe) — передня: 3-є міжребер'я; задня: Th3 паравертебрально + Наднирники (Adrenal) — передня: білатерально ≈2 см латеральніше пупка, трохи нижче; задня: між поперечними відростками Th11–Th12</t>
  </si>
  <si>
    <t>Послідовна пальпація точок «Легені, верхня частка» та «Наднирники» орієнтує лікаря щодо можливого поєднаного коморбідного залучення осей — вентиляційний резерв верхніх часток легень та гіпоталамо-гіпофізарно-надниркова (HPA) вісь, стрес-реактивність і системне запалення — на фоні «Бронхіальна астма (функц.)». Позитивна реакція хоча б в одній точці — підстава для цілеспрямованого уточнення: спірометрія, аускультація, SpO2; кортизол (ранковий/добовий ритм), АКТГ, електроліти. Результат пальпації є попереднім орієнтиром і потребує клініко-лабораторного підтвердження.</t>
  </si>
  <si>
    <t>Етіології: алергія; стрес; спадковість</t>
  </si>
  <si>
    <t>Першопричини: бронхоспазм; імунна гіперреактивність</t>
  </si>
  <si>
    <t>Діафрагмальна зона + міжребер’я</t>
  </si>
  <si>
    <t>CV17, Th2–Th8, KI3</t>
  </si>
  <si>
    <t>Зняття бронхоспазму, синхронізація дихання з глибинною (нирковою) регуляцією</t>
  </si>
  <si>
    <t>Осьова: CV17 (збирає Ці грудей, регулює дихання/ритм); Локальна: LU1 (Front‑Mu Легень — кашель, біль грудей); Вегетативна: LU7 (звільняє поверхню, відкриває Ren‑mai, кашель/головний біль); Фасціальна: LV13 (вплив на SP/LR, фасція передньобокова); Підтримуюча: BL58 (Luo UB — знімає тяжкість литки); Рефлекторно‑кінцева: BL60 (Jing‑River UB — «аспірин меридіанів», біль уздовж спини/шиї)</t>
  </si>
  <si>
    <t>1) Грудні сегменти, симпатична ланка · 2) Ромбоподібні й підостьовий: міжлопатковий патерн · 3) Back-Shu Легень · 4) He-Sea LI — базова протизапально-мікроциркуляторна точка · 5) Bai-hui та Yin-tang: базова антистрес-вегетативна пара · 6) Дистальна пара верхньої частини тіла; Су-Джок — відповідна зона на КИСТІ</t>
  </si>
  <si>
    <t>ХОЗЛ (ранні стадії)</t>
  </si>
  <si>
    <t>системно-респіраторний</t>
  </si>
  <si>
    <t>Адаптація та резерви</t>
  </si>
  <si>
    <t>ХОЗЛ (рання)</t>
  </si>
  <si>
    <t>системно-легеневий</t>
  </si>
  <si>
    <t>BL13, KI3, ST36</t>
  </si>
  <si>
    <t>Обличчя: грудна зона; Вухо: легені</t>
  </si>
  <si>
    <t>Hara-Upper-Chest: 6×8 ≈48</t>
  </si>
  <si>
    <t>Дихальна синхронізація</t>
  </si>
  <si>
    <t>Легені, нижня частка (Lung, lower lobe) — передня: 4-е міжребер'я; задня: Th4 паравертебрально</t>
  </si>
  <si>
    <t>Пальпаторна оцінка точки «Легені, нижня частка» дає лікарю попередній орієнтир на бронхолегеневий статус і вентиляційний резерв як можливий коморбідний фон при «ХОЗЛ (ранні стадії)». Позитивна ознака (тканинна тугорухливість/болючість) — привід уточнити діагноз додатково: спірометрія, аускультація, SpO2, пульсоксиметрія з навантаженням. Пальпаторний тест не замінює лабораторно-інструментальну діагностику.</t>
  </si>
  <si>
    <t>Етіології: куріння; професійні фактори</t>
  </si>
  <si>
    <t>Першопричини: обструкція дихальних шляхів; зниження легеневих резервів</t>
  </si>
  <si>
    <t>Передня грудна клітка + діафрагма</t>
  </si>
  <si>
    <t>LU1, CV17, реберна дуга</t>
  </si>
  <si>
    <t>Підтримка легеневих резервів, покращення вентиляційно-перфузійної адаптації</t>
  </si>
  <si>
    <t>BL54</t>
  </si>
  <si>
    <t>Осьова: CV17 (збирає Ці грудей, регулює дихання/ритм); Локальна: Ashi (локальний вплив); Вегетативна: LU7 (звільняє поверхню, відкриває Ren‑mai, кашель/головний біль); Фасціальна: SP9 (осушує Вологу, антинабрякова); Підтримуюча: EX-HN3 (підтримка/анальгезія); Рефлекторно‑кінцева: BL54 (сакро‑глютеальна зона)</t>
  </si>
  <si>
    <t>1) Грудні сегменти, симпатична ланка · 2) Ромбоподібні й підостьовий: міжлопатковий патерн · 3) Back-Shu Легень + нижньодольова проєкція · 4) Hui-точка крові — гемодинамічна ланка · 5) Bai-hui та Yin-tang: базова антистрес-вегетативна пара · 6) Дистальна пара верхньої частини тіла; Су-Джок — відповідна зона на КИСТІ</t>
  </si>
  <si>
    <t>Остеоартроз коліна</t>
  </si>
  <si>
    <t>локально-дегенеративний</t>
  </si>
  <si>
    <t>ST – KI</t>
  </si>
  <si>
    <t>Локальна зона + опора</t>
  </si>
  <si>
    <t>локальний</t>
  </si>
  <si>
    <t>ST35, Ashi, ST36, KI3</t>
  </si>
  <si>
    <t>Обличчя: коліно; Кисть: середній палець; Стопа: п’ята; Вухо: коліно</t>
  </si>
  <si>
    <t>Суглоб</t>
  </si>
  <si>
    <t>Shi-Joint</t>
  </si>
  <si>
    <t>Hara-Knee-Anterior+Posterior: 2×(4×5) ≈40</t>
  </si>
  <si>
    <t>Підготовка тканин → ЕМХ</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</si>
  <si>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«Остеоартроз коліна».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</si>
  <si>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Етіології: вікові зміни; надмірна вага</t>
  </si>
  <si>
    <t>Першопричини: дегенерація хряща; локальна ішемія</t>
  </si>
  <si>
    <t>Підколінна ямка</t>
  </si>
  <si>
    <t>Підколінна ямка + задня поверхня стегна</t>
  </si>
  <si>
    <t>BL40, BL36, Ashi</t>
  </si>
  <si>
    <t>Поліпшення локальної трофіки, зменшення ішемії та фасціального напруження</t>
  </si>
  <si>
    <t>ST35</t>
  </si>
  <si>
    <t>Осьова: CV6 (зміцнює Ці, тонус і перистальтика); Локальна: ST35 (локально коліно); Вегетативна: SP6 (SP/LR/KI, тазова/вегетативна регуляція); Фасціальна: GB34 (Hui сухожиль); Підтримуюча: BL58 (Luo UB — знімає тяжкість литки); Рефлекторно‑кінцева: BL60 (Jing‑River UB — «аспірин меридіанів», біль уздовж спини/шиї)</t>
  </si>
  <si>
    <t>EX-B2 (Jiaji L3–L4)</t>
  </si>
  <si>
    <t>ST34 + GB33</t>
  </si>
  <si>
    <t>1) Сегменти стегнового нерва · 2) Квадрицепс і латеральний ретинакулум · 3) Back-Shu Нирок — вісь гіпоталамус–гіпофіз–наднирники · 4) Xue-hai — базова мікроциркуляторна точка для кінцівок · 5) Bai-hui та Yin-tang: базова антистрес-вегетативна пара · 6) Дистальна пара нижньої частини тіла; Су-Джок — відповідна зона на СТОПІ</t>
  </si>
  <si>
    <t>Колінний</t>
  </si>
  <si>
    <t>Коксартроз</t>
  </si>
  <si>
    <t>тазостегновий</t>
  </si>
  <si>
    <t>GB – BL – KI</t>
  </si>
  <si>
    <t>Глибока суглобова зона</t>
  </si>
  <si>
    <t>глибокий</t>
  </si>
  <si>
    <t>GB30, BL54, KI3</t>
  </si>
  <si>
    <t>Обличчя: таз; Кисть: великий палець; Стопа: п’ята; Вухо: таз</t>
  </si>
  <si>
    <t>Таз</t>
  </si>
  <si>
    <t>Shi-Hip</t>
  </si>
  <si>
    <t>Hara-Hip-Lateral: 6×8 см ≈48</t>
  </si>
  <si>
    <t>Глибока трофічна стимуляція</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</si>
  <si>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«Коксартроз».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</si>
  <si>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Етіології: дисплазія; перевантаження; травми</t>
  </si>
  <si>
    <t>Першопричини: дегенерація суглоба; порушення біомеханіки</t>
  </si>
  <si>
    <t>Сіднична зона + пахвинна область</t>
  </si>
  <si>
    <t>GB30, BL54, пахвинна зона</t>
  </si>
  <si>
    <t>Глибока трофічна стимуляція кульшового суглоба, корекція біомеханіки тазу</t>
  </si>
  <si>
    <t>Осьова: CV6 (зміцнює Ці, тонус і перистальтика); Локальна: GB30 (локальна при ішіалгії/радикуліті); Вегетативна: SP6 (SP/LR/KI, тазова/вегетативна регуляція); Фасціальна: GB34 (Hui сухожиль); Підтримуюча: GB20 (розсіює «вітер», звільняє голову/очі, шия); Рефлекторно‑кінцева: BL60 (Jing‑River UB — «аспірин меридіанів», біль уздовж спини/шиї)</t>
  </si>
  <si>
    <t>EX-B2 (Jiaji L4–S1)</t>
  </si>
  <si>
    <t>GB30 + GB31</t>
  </si>
  <si>
    <t>1) Сегменти сідничного нерва · 2) Грушоподібний та ілеотибіальний тракт · 3) Back-Shu Нирок — вісь гіпоталамус–гіпофіз–наднирники · 4) Xue-hai — базова мікроциркуляторна точка для кінцівок · 5) Bai-hui та Yin-tang: базова антистрес-вегетативна пара · 6) Дистальна пара нижньої частини тіла; Су-Джок — відповідна зона на СТОПІ</t>
  </si>
  <si>
    <t>Кульшовий</t>
  </si>
  <si>
    <t>Хронічний гастрит</t>
  </si>
  <si>
    <t>вегетативно-вісцеральний</t>
  </si>
  <si>
    <t>ST – SP</t>
  </si>
  <si>
    <t>Шлунковий центр</t>
  </si>
  <si>
    <t>вісцеральний</t>
  </si>
  <si>
    <t>CV12, ST36, SP6</t>
  </si>
  <si>
    <t>Обличчя: рот; Кисть: великий палець; Стопа: подушечка; Вухо: шлунок</t>
  </si>
  <si>
    <t>ШКТ</t>
  </si>
  <si>
    <t>Shi-Hara(ST/SP)</t>
  </si>
  <si>
    <t>Hara-Epigastric: 6×8 ≈48</t>
  </si>
  <si>
    <t>М’який прес</t>
  </si>
  <si>
    <t>Шлунок (Stomach) — передня: 5-е міжребер'я зліва; задня: Th5 паравертебрально зліва</t>
  </si>
  <si>
    <t>Пальпаторна оцінка точки «Шлунок» дає лікарю попередній орієнтир на секреторно-моторну функцію шлунка як можливий коморбідний фон при «Хронічний гастрит». Позитивна ознака (болючість/гіперестезія) — привід уточнити діагноз додатково: дослідження на H. pylori, за показами ФГДС. Пальпаторний тест не замінює лабораторно-інструментальну діагностику.</t>
  </si>
  <si>
    <t>Етіології: Helicobacter pylori; стрес</t>
  </si>
  <si>
    <t>Першопричини: порушення секреції; вегетативна дизрегуляція</t>
  </si>
  <si>
    <t>Живіт (Hara) + діафрагмальна зона</t>
  </si>
  <si>
    <t>CV12, ST36, SP6, епігастрій</t>
  </si>
  <si>
    <t>Нормалізація секреції шлунка, зменшення вегетативної дизрегуляції, покращення трофіки слизової</t>
  </si>
  <si>
    <t>Під аплікатор: нейтральний УЗ‑гель на передній черевній стінці; фармдомішок не додавати.</t>
  </si>
  <si>
    <t>За наявності H. pylori — ерадикація; ІПП коротким курсом при епігастральному болю; при СРК — спазмолітик/олія м’яти перцевої в ентеросолюбільних капсулах. За лікарем.</t>
  </si>
  <si>
    <t>Календула, ромашка, м’ята</t>
  </si>
  <si>
    <t>Ромашка, м’ята, фенхель</t>
  </si>
  <si>
    <t>CV12</t>
  </si>
  <si>
    <t>LR3</t>
  </si>
  <si>
    <t>Осьова: CV12 (гармонізує Шлунок, знімає спазм); Локальна: Ashi (локальний вплив); Вегетативна: LR3 (розсіює застій Ці Печінки, заспокоює); Фасціальна: LV13 (вплив на SP/LR, фасція передньобокова); Підтримуюча: BL58 (Luo UB — знімає тяжкість литки); Рефлекторно‑кінцева: BL60 (Jing‑River UB — «аспірин меридіанів», біль уздовж спини/шиї)</t>
  </si>
  <si>
    <t>BL21</t>
  </si>
  <si>
    <t>BL49 + PC6</t>
  </si>
  <si>
    <t>1) Back-Shu ураженого органа (back-shu шлунка) · 2) Сегментарні паравертебральні тригери вісцеро-соматичного рефлексу · 3) Back-Shu Шлунка · 4) He-Sea LI — базова протизапально-мікроциркуляторна точка · 5) Yi-she (нав’язливі думки) і Nei-guan: вісь «кишківник–мозок» · 6) «Чотири брами» (Si Guan) — системна регуляція; Су-Джок — кисть і стопа</t>
  </si>
  <si>
    <t>СРК</t>
  </si>
  <si>
    <t>нейровісцеральний</t>
  </si>
  <si>
    <t>ST – LV</t>
  </si>
  <si>
    <t>Кишкова регуляція</t>
  </si>
  <si>
    <t>ST36, LV3, CV12</t>
  </si>
  <si>
    <t>Те ж + міжбрів’я</t>
  </si>
  <si>
    <t>Hara-Lower-Abdomen: 7×9 ≈63</t>
  </si>
  <si>
    <t>Вегетативний баланс</t>
  </si>
  <si>
    <t>Тонкий кишківник (Small intestine) — передня: кілька точок навколопупкової ділянки по колу; задня: Th8–Th10 паравертебрально + Товстий кишківник (Large intestine) — передня: проекційні точки по квадрантах живота (за ходом ободової кишки); задня: Th10–L2 паравертебрально сегментарно</t>
  </si>
  <si>
    <t>Послідовна пальпація точок «Тонкий кишківник» та «Товстий кишківник» орієнтує лікаря щодо можливого поєднаного коморбідного залучення осей — всмоктувальну функцію тонкого кишківника та моторну функцію товстого кишківника — на фоні «СРК». Позитивна реакція хоча б в одній точці — підстава для цілеспрямованого уточнення: копрограма, за показами обстеження на мальабсорбцію; копрограма, за показами колоноскопія. Результат пальпації є попереднім орієнтиром і потребує клініко-лабораторного підтвердження.</t>
  </si>
  <si>
    <t>Етіології: стрес; дисбіоз</t>
  </si>
  <si>
    <t>Першопричини: порушення осі «кишківник–мозок»</t>
  </si>
  <si>
    <t>Нижній живіт (Hara) + долоня</t>
  </si>
  <si>
    <t>CV9–CV6, ST36, PC8</t>
  </si>
  <si>
    <t>Відновлення осі «кишківник–мозок», баланс симпато-парасимпатичної регуляції</t>
  </si>
  <si>
    <t>TE14</t>
  </si>
  <si>
    <t>Осьова: CV12 (гармонізує Шлунок, знімає спазм); Локальна: Ashi (локальний вплив); Вегетативна: LR3 (розсіює застій Ці Печінки, заспокоює); Фасціальна: GB34 (Hui сухожиль); Підтримуюча: EX-HN3 (підтримка/анальгезія); Рефлекторно‑кінцева: TE14 (плечовий суглоб, бурсит/тендопатія)</t>
  </si>
  <si>
    <t>BL27</t>
  </si>
  <si>
    <t>1) Back-Shu ураженого органа (back-shu тонкої кишки) · 2) Сегментарні паравертебральні тригери вісцеро-соматичного рефлексу · 3) Back-Shu Тонкої кишки · 4) He-Sea LI — базова протизапально-мікроциркуляторна точка · 5) Yi-she (нав’язливі думки) і Nei-guan: вісь «кишківник–мозок» · 6) «Чотири брами» (Si Guan) — системна регуляція; Су-Джок — кисть і стопа</t>
  </si>
  <si>
    <t>Простатичний синдром</t>
  </si>
  <si>
    <t>тазовий</t>
  </si>
  <si>
    <t>KI – BL</t>
  </si>
  <si>
    <t>Тазова регуляція</t>
  </si>
  <si>
    <t>CV4, BL23, KI3</t>
  </si>
  <si>
    <t>Обличчя: підборіддя; Кисть: великий палець; Стопа: п’ята; Вухо: простата</t>
  </si>
  <si>
    <t>Shi-Hara(KI) + Shi-Pelvic</t>
  </si>
  <si>
    <t>Нижній Hara (лобково-крижовий): 7×9 ≈63</t>
  </si>
  <si>
    <t>Глибока тазова деконгестія → ЕМХ → Су-Джок стопи</t>
  </si>
  <si>
    <t>Простата/сім'яні пухирці (Prostate) — передня: верхня гілка лобкової кістки; задня: L5–S1</t>
  </si>
  <si>
    <t>Пальпаторна оцінка точки «Простата/сім'яні пухирці» дає лікарю попередній орієнтир на тазовий венозний та нервовий статус як можливий коморбідний фон при «Простатичний синдром». Позитивна ознака (болючість при пальпації) — привід уточнити діагноз додатково: ПСА, УЗД передміхурової залози за показами. Пальпаторний тест не замінює лабораторно-інструментальну діагностику.</t>
  </si>
  <si>
    <t>Етіології: застій; інфекції</t>
  </si>
  <si>
    <t>Першопричини: порушення мікроциркуляції; нейротазовий дисбаланс</t>
  </si>
  <si>
    <t>Пахвинна зона + поперек</t>
  </si>
  <si>
    <t>Пахвинні складки, BL23, CV4</t>
  </si>
  <si>
    <t>Тазова деконгестія, покращення мікроциркуляції та нейротазової регуляції</t>
  </si>
  <si>
    <t>Під аплікатор: нейтральний УЗ‑гель в проєкції малого таза; локальні венотоніки — не під аплікатор.</t>
  </si>
  <si>
    <t>Альфа‑блокатор ± 5‑АРІ за об’ємом простати; при супутній еректильній дисфункції — розглянути інгібітор ФДЕ‑5. Вено‑активні системно — за показами.</t>
  </si>
  <si>
    <t>CV4</t>
  </si>
  <si>
    <t>Осьова: CV4 (живить Інь, нижній обігрівач, урогенітальна регуляція); Локальна: CV4 (живить Інь, нижній обігрівач, урогенітальна регуляція); Вегетативна: CV4 (живить Інь, нижній обігрівач, урогенітальна регуляція); Фасціальна: SP10 (рухає/очищує Кров); Підтримуюча: BL58 (Luo UB — знімає тяжкість литки); Рефлекторно‑кінцева: KI1 («заземлює», опускає надлишковий Ян)</t>
  </si>
  <si>
    <t>EX-B2 (Jiaji L4–S2) + BL32</t>
  </si>
  <si>
    <t>BL32 + BL54</t>
  </si>
  <si>
    <t>BL28</t>
  </si>
  <si>
    <t>1) Попереково-крижові сегменти тазового сплетення · 2) Тазове дно й сакро-глютеальна зона · 3) Back-Shu Сечового міхура — тазова проєкція · 4) Xue-hai — базова мікроциркуляторна точка для кінцівок · 5) Bai-hui та Yin-tang: базова антистрес-вегетативна пара · 6) Дистальна пара нижньої частини тіла; Су-Джок — відповідна зона на СТОПІ</t>
  </si>
  <si>
    <t>Тазовий</t>
  </si>
  <si>
    <t>Хронічний тазовий біль</t>
  </si>
  <si>
    <t>нейротазовий</t>
  </si>
  <si>
    <t>KI – BL – DU</t>
  </si>
  <si>
    <t>Центр тазу</t>
  </si>
  <si>
    <t>CV4, BL23, DU4</t>
  </si>
  <si>
    <t>Те ж</t>
  </si>
  <si>
    <t>Центр</t>
  </si>
  <si>
    <t>Крижово-лобкова зона ≈60</t>
  </si>
  <si>
    <t>Централізація болю</t>
  </si>
  <si>
    <t>Матка/яєчники, широка зв'язка (Uterus/Ovary) — передня: бічно від лобкового симфізу (матка) / гребінь клубової кістки (яєчники); задня: L5 / крижово-клубова ділянка</t>
  </si>
  <si>
    <t>Пальпаторна оцінка точки «Матка/яєчники, широка зв'язка» дає лікарю попередній орієнтир на гормонально-тазову регуляторну вісь як можливий коморбідний фон при «Хронічний тазовий біль». Позитивна ознака (локальна болючість/ущільнення) — привід уточнити діагноз додатково: гінекологічний огляд, гормональна панель за показами. Пальпаторний тест не замінює лабораторно-інструментальну діагностику.</t>
  </si>
  <si>
    <t>Етіології: перенесені запалення; стрес</t>
  </si>
  <si>
    <t>Першопричини: центральна сенситизація; м’язово-фасціальна фіксація</t>
  </si>
  <si>
    <t>Сіднична зона</t>
  </si>
  <si>
    <t>Пахвинна + сіднична зона</t>
  </si>
  <si>
    <t>CV4, DU4, сіднична область</t>
  </si>
  <si>
    <t>Централізація та «розмикання» больової фіксації, зменшення фасціального імпедансу</t>
  </si>
  <si>
    <t>Календула, ромашка, гінко</t>
  </si>
  <si>
    <t>Осьова: GV4 (Mingmen, тонізує Ян Нирок, зігріває поперек); Локальна: CV4 (живить Інь, нижній обігрівач, урогенітальна регуляція); Вегетативна: SP6 (SP/LR/KI, тазова/вегетативна регуляція); Фасціальна: LV13 (вплив на SP/LR, фасція передньобокова); Підтримуюча: GV24 (заспокоює Шень, фронтальний біль); Рефлекторно‑кінцева: KI1 («заземлює», опускає надлишковий Ян)</t>
  </si>
  <si>
    <t>BL32</t>
  </si>
  <si>
    <t>1) Попереково-крижові сегменти тазового сплетення · 2) Тазове дно й сакро-глютеальна зона · 3) Сакральні отвори — тазове вегетативне сплетення · 4) Xue-hai — базова мікроциркуляторна точка для кінцівок · 5) Bai-hui та Yin-tang: базова антистрес-вегетативна пара · 6) Дистальна пара нижньої частини тіла; Су-Джок — відповідна зона на СТОПІ</t>
  </si>
  <si>
    <t>системно-адаптивний</t>
  </si>
  <si>
    <t>ST – KI – DU</t>
  </si>
  <si>
    <t>Відновлення резервів</t>
  </si>
  <si>
    <t>адаптивний</t>
  </si>
  <si>
    <t>ST36, KI3, GV20</t>
  </si>
  <si>
    <t>Обличчя: лоб; Кисть: центр; Стопа: арка; Вухо: наднирники</t>
  </si>
  <si>
    <t>Резерв</t>
  </si>
  <si>
    <t>Shi-Hara(ST)</t>
  </si>
  <si>
    <t>Центральна вісь ≈60</t>
  </si>
  <si>
    <t>Адаптація</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</si>
  <si>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«Хронічна втома».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</si>
  <si>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Етіології: перевтома; інфекції</t>
  </si>
  <si>
    <t>Першопричини: дисфункція гіпоталамо-надниркової осі</t>
  </si>
  <si>
    <t>Підошва стопи</t>
  </si>
  <si>
    <t>Підошва стопи + діафрагма</t>
  </si>
  <si>
    <t>KI1, ST36, реберна дуга</t>
  </si>
  <si>
    <t>Активація адаптаційних резервів, підтримка гіпоталамо-надниркової осі</t>
  </si>
  <si>
    <t>GB2</t>
  </si>
  <si>
    <t>Осьова: CV6 (зміцнює Ці, тонус і перистальтика); Локальна: Ashi (локальний вплив); Вегетативна: SP6 (SP/LR/KI, тазова/вегетативна регуляція); Фасціальна: BL62 (відкриває Ян‑цяо‑май, стабілізує гомілково‑ступневий вузол); Підтримуюча: ST36 (тонізує Ці/Кров, імуномодуляція); Рефлекторно‑кінцева: GB2 (вухо — оталгія/шум)</t>
  </si>
  <si>
    <t>BL43 + BL52</t>
  </si>
  <si>
    <t>1) Нижньогрудні сегменти — вегетативна інтеграція · 2) Трапеція й Gao-huang: генералізований міофасціальний патерн при хронізації · 3) Back-Shu Нирок — вісь гіпоталамус–гіпофіз–наднирники · 4) He-Sea LI — базова протизапально-мікроциркуляторна точка · 5) Gao-huang і Zhi-shi: класичні точки хронічного виснаження й «волі» · 6) «Чотири брами» (Si Guan) — системна регуляція; Су-Джок — кисть і стопа</t>
  </si>
  <si>
    <t>Цервікалгія</t>
  </si>
  <si>
    <t>шийно-осьовий</t>
  </si>
  <si>
    <t>BL – DU – GB</t>
  </si>
  <si>
    <t>Шийна вісь + краніальний вихід</t>
  </si>
  <si>
    <t>шийний</t>
  </si>
  <si>
    <t>BL10, GB20, DU14</t>
  </si>
  <si>
    <t>Обличчя: шия; Кисть: великий палець; Вухо: шия</t>
  </si>
  <si>
    <t>Ось</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</si>
  <si>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«Цервікалгія».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</si>
  <si>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Етіології: статичні навантаження; остеохондроз</t>
  </si>
  <si>
    <t>Першопричини: м’язовий спазм; сегментарна компресія</t>
  </si>
  <si>
    <t>Шия (бокові ланцюги) + плечі</t>
  </si>
  <si>
    <t>Зняття м’язового спазму, відновлення шийно-краніальної провідності</t>
  </si>
  <si>
    <t>BL10</t>
  </si>
  <si>
    <t>Осьова: GV20 (піднімає Ян, заспокоює Шень, прояснює свідомість); Локальна: BL10 (локальний вплив); Вегетативна: SP6 (SP/LR/KI, тазова/вегетативна регуляція); Фасціальна: SP10 (рухає/очищує Кров); Підтримуюча: GB20 (розсіює «вітер», звільняє голову/очі, шия); Рефлекторно‑кінцева: SP4 (активує Chong‑mai (з PC6), ШКТ)</t>
  </si>
  <si>
    <t>1) Сегментарна регуляція шийних корінців · 2) Верхня трапеція й підпотиличні (Travell): класичний цервікогенний патерн · 3) Back-Shu Нирок — вісь гіпоталамус–гіпофіз–наднирники · 4) He-Sea LI — базова протизапально-мікроциркуляторна точка · 5) Bai-hui та Yin-tang: базова антистрес-вегетативна пара · 6) Дистальна пара верхньої частини тіла; Су-Джок — відповідна зона на КИСТІ</t>
  </si>
  <si>
    <t>Цервікобрахіалгія</t>
  </si>
  <si>
    <t>іррадіюючий</t>
  </si>
  <si>
    <t>BL – LI</t>
  </si>
  <si>
    <t>Провідність у верхню кінцівку</t>
  </si>
  <si>
    <t>BL10, LI15, LI11</t>
  </si>
  <si>
    <t>Обличчя: плече; Кисть: вказівний; Вухо: плече</t>
  </si>
  <si>
    <t>Провідність</t>
  </si>
  <si>
    <t>Пальпаторна оцінка точки «Легені, верхня частка» дає лікарю попередній орієнтир на вентиляційний резерв верхніх часток легень як можливий коморбідний фон при «Цервікобрахіалгія». Позитивна ознака (тканинна тугорухливість/болючість) — привід уточнити діагноз додатково: спірометрія, аускультація, SpO2. Пальпаторний тест не замінює лабораторно-інструментальну діагностику.</t>
  </si>
  <si>
    <t>Етіології: грижі; постуральні порушення</t>
  </si>
  <si>
    <t>Першопричини: іррадіююча компресія; фасціальні ланцюги</t>
  </si>
  <si>
    <t>Плечовий пояс + шия</t>
  </si>
  <si>
    <t>Усунення іррадіюючої компресії, фасціальна декомпресія верхньої кінцівки</t>
  </si>
  <si>
    <t>LI15</t>
  </si>
  <si>
    <t>Осьова: GV20 (піднімає Ян, заспокоює Шень, прояснює свідомість); Локальна: LI15 (локальний вплив); Вегетативна: SP6 (SP/LR/KI, тазова/вегетативна регуляція); Фасціальна: ST40 (перетворює слиз/флегму); Підтримуюча: KI1 («заземлює», опускає надлишковий Ян); Рефлекторно‑кінцева: LI11 (He‑Sea LI — «очищує жар»)</t>
  </si>
  <si>
    <t>EX-B2 (Jiaji C5–Th1)</t>
  </si>
  <si>
    <t>SI11 + TE14</t>
  </si>
  <si>
    <t>1) Сегменти плечового сплетення · 2) Підостьовий і дельтоподібний: відображення в руку · 3) Back-Shu Легень · 4) He-Sea LI — базова протизапально-мікроциркуляторна точка · 5) Bai-hui та Yin-tang: базова антистрес-вегетативна пара · 6) Дистальна пара верхньої частини тіла; Су-Джок — відповідна зона на КИСТІ</t>
  </si>
  <si>
    <t>Плечолопатковий періартрит</t>
  </si>
  <si>
    <t>суглобово-фасціальний</t>
  </si>
  <si>
    <t>LI – SI</t>
  </si>
  <si>
    <t>Локальна суглобова зона</t>
  </si>
  <si>
    <t>фасціальний</t>
  </si>
  <si>
    <t>LI15, SI9, Ashi</t>
  </si>
  <si>
    <t>Обличчя: лопатка; Кисть: тильна; Вухо: плече</t>
  </si>
  <si>
    <t>Локально</t>
  </si>
  <si>
    <t>Shi-Shoulder</t>
  </si>
  <si>
    <t>Hara-Shoulder-Cap: 5×7 см ≈35</t>
  </si>
  <si>
    <t>Зняття фасціального затиску</t>
  </si>
  <si>
    <t>Пальпаторна оцінка точки «Легені, верхня частка» дає лікарю попередній орієнтир на вентиляційний резерв верхніх часток легень як можливий коморбідний фон при «Плечолопатковий періартрит». Позитивна ознака (тканинна тугорухливість/болючість) — привід уточнити діагноз додатково: спірометрія, аускультація, SpO2. Пальпаторний тест не замінює лабораторно-інструментальну діагностику.</t>
  </si>
  <si>
    <t>Етіології: мікротравми; перевантаження</t>
  </si>
  <si>
    <t>Першопричини: запалення сухожиль; обмеження руху</t>
  </si>
  <si>
    <t>Верхні трапеції</t>
  </si>
  <si>
    <t>Плечовий пояс + верхні трапеції</t>
  </si>
  <si>
    <t>Зменшення сухожильно-фасціального запалення, покращення рухливості</t>
  </si>
  <si>
    <t>GV14</t>
  </si>
  <si>
    <t>SI3</t>
  </si>
  <si>
    <t>Осьова: GV14 (зустріч Ян‑каналів, знижує гарячку, розслаблює шию/спину); Локальна: LI15 (локальний вплив); Вегетативна: SP6 (SP/LR/KI, тазова/вегетативна регуляція); Фасціальна: GB34 (Hui сухожиль); Підтримуюча: KI1 («заземлює», опускає надлишковий Ян); Рефлекторно‑кінцева: SI3 (відкриває Du‑mai, шия/спина)</t>
  </si>
  <si>
    <t>1) Сегменти плечового сплетення · 2) Підостьовий і дельтоподібний: відображення в руку · 3) Back-Shu Легень · 4) He-Sea LI — очищення жару, протизапальна ланка · 5) Bai-hui та Yin-tang: базова антистрес-вегетативна пара · 6) Дистальна пара верхньої частини тіла; Су-Джок — відповідна зона на КИСТІ</t>
  </si>
  <si>
    <t>Тунельний синдром</t>
  </si>
  <si>
    <t>PC – LI</t>
  </si>
  <si>
    <t>Нервово-фасціальний імпеданс</t>
  </si>
  <si>
    <t>компресія</t>
  </si>
  <si>
    <t>PC7, LI4</t>
  </si>
  <si>
    <t>Кисть: Ashi; Вухо: кисть</t>
  </si>
  <si>
    <t>Нерв</t>
  </si>
  <si>
    <t>Shi-Limb</t>
  </si>
  <si>
    <t>Hara-Forearm-Medial: 3×8 см ≈24</t>
  </si>
  <si>
    <t>Дренаж + ЕМХ</t>
  </si>
  <si>
    <t>Пальпаторна оцінка точки «Легені, верхня частка» дає лікарю попередній орієнтир на вентиляційний резерв верхніх часток легень як можливий коморбідний фон при «Тунельний синдром». Позитивна ознака (тканинна тугорухливість/болючість) — привід уточнити діагноз додатково: спірометрія, аускультація, SpO2. Пальпаторний тест не замінює лабораторно-інструментальну діагностику.</t>
  </si>
  <si>
    <t>Етіології: повторні рухи; набряк</t>
  </si>
  <si>
    <t>Першопричини: компресія нерва; ішемія</t>
  </si>
  <si>
    <t>Центр долоні + плечовий пояс</t>
  </si>
  <si>
    <t>PC8, PC7, Ashi передпліччя</t>
  </si>
  <si>
    <t>Зменшення набряку та ішемії нерва, покращення венозно-лімфатичного відтоку</t>
  </si>
  <si>
    <t>Осьова: CV6 (зміцнює Ці, тонус і перистальтика); Локальна: Ashi (локальний вплив); Вегетативна: SP6 (SP/LR/KI, тазова/вегетативна регуляція); Фасціальна: SP9 (осушує Вологу, антинабрякова); Підтримуюча: EX-HN3 (підтримка/анальгезія); Рефлекторно‑кінцева: BL15 (Back‑Shu Серця, заспокоює Шень)</t>
  </si>
  <si>
    <t>EX-B2 (Jiaji C6–Th1)</t>
  </si>
  <si>
    <t>LI10 + TE5</t>
  </si>
  <si>
    <t>1) Сегменти іннервації кисті · 2) Розгиначі передпліччя: латеральний епікондилярний патерн · 3) Back-Shu Легень · 4) He-Sea LI — базова протизапально-мікроциркуляторна точка · 5) Bai-hui та Yin-tang: базова антистрес-вегетативна пара · 6) Дистальна пара верхньої частини тіла; Су-Джок — відповідна зона на КИСТІ</t>
  </si>
  <si>
    <t>Кисть/передпліччя</t>
  </si>
  <si>
    <t>Карпальний синдром</t>
  </si>
  <si>
    <t>периферичний</t>
  </si>
  <si>
    <t>PC – HT</t>
  </si>
  <si>
    <t>Дистальна нейрорегуляція</t>
  </si>
  <si>
    <t>PC6, PC7, HT7</t>
  </si>
  <si>
    <t>Дистально</t>
  </si>
  <si>
    <t>Щитоподібна/паращитоподібні залози (Thyroid/Parathyroid) — передня: 2-е міжребер'я біля краю грудини; задня: паравертебрально на рівні C2–C3</t>
  </si>
  <si>
    <t>Пальпаторна оцінка точки «Щитоподібна/паращитоподібні залози» дає лікарю попередній орієнтир на тиреоїдний метаболічний статус та кальцієвий обмін як можливий коморбідний фон при «Карпальний синдром». Позитивна ознака (гіперестезія або вузликове ущільнення) — привід уточнити діагноз додатково: ТТГ, вільний Т4, за потреби кальцій/ПТГ. Пальпаторний тест не замінює лабораторно-інструментальну діагностику.</t>
  </si>
  <si>
    <t>Етіології: офісна робота; ендокринні зрушення</t>
  </si>
  <si>
    <t>Першопричини: компресія серединного нерва</t>
  </si>
  <si>
    <t>Передпліччя (через плечовий пояс)</t>
  </si>
  <si>
    <t>Долоня + передпліччя</t>
  </si>
  <si>
    <t>Дистальна нейрорегуляція, зниження компресії серединного нерва</t>
  </si>
  <si>
    <t>BL57</t>
  </si>
  <si>
    <t>Осьова: CV6 (зміцнює Ці, тонус і перистальтика); Локальна: Ashi (локальний вплив); Вегетативна: SP6 (SP/LR/KI, тазова/вегетативна регуляція); Фасціальна: BL57 (литкові судоми, геморой (класично)); Підтримуюча: EX-HN3 (підтримка/анальгезія); Рефлекторно‑кінцева: SI3 (відкриває Du‑mai, шия/спина)</t>
  </si>
  <si>
    <t>1) Сегменти іннервації кисті · 2) Розгиначі передпліччя: латеральний епікондилярний патерн · 3) Шийно-грудний перехід; уникнуто CV22 через близькість трахеї · 4) He-Sea LI — базова протизапально-мікроциркуляторна точка · 5) Bai-hui та Yin-tang: базова антистрес-вегетативна пара · 6) Дистальна пара верхньої частини тіла; Су-Джок — відповідна зона на КИСТІ</t>
  </si>
  <si>
    <t>Невралгія трійчастого нерва</t>
  </si>
  <si>
    <t>краніальна</t>
  </si>
  <si>
    <t>ST – GB</t>
  </si>
  <si>
    <t>Краніо-лицева провідність</t>
  </si>
  <si>
    <t>Трійчаста невралгія</t>
  </si>
  <si>
    <t>ST6, ST7, GB14</t>
  </si>
  <si>
    <t>Обличчя: щока; Вухо: обличчя</t>
  </si>
  <si>
    <t>Череп</t>
  </si>
  <si>
    <t>Очі (Eye) — передня: 2-е ребро біля грудини; задня: верхня вия (субокципітально)</t>
  </si>
  <si>
    <t>Пальпаторна оцінка точки «Очі» дає лікарю попередній орієнтир на судинно-трофічний статус ока як можливий коморбідний фон при «Невралгія трійчастого нерва». Позитивна ознака (болючість/гіперестезія) — привід уточнити діагноз додатково: огляд офтальмолога, внутрішньоочний тиск за показами. Пальпаторний тест не замінює лабораторно-інструментальну діагностику.</t>
  </si>
  <si>
    <t>31. Невралгія трійчастого — етіології: судинні петлі, стрес | причини: нейросенситизація</t>
  </si>
  <si>
    <t>Грудино-ключично-соскоподібний</t>
  </si>
  <si>
    <t>Грудино-ключично-соскоподібний + верхні трапеції</t>
  </si>
  <si>
    <t>SCM-зона, GB20, трапецієподібний м’яз</t>
  </si>
  <si>
    <t>Зниження краніо-цервікального напруження, вплив на судинно-нервову провідність трійчастого нерва</t>
  </si>
  <si>
    <t>Під аплікатор: нейтральний УЗ‑гель; за потреби локально 2–4% лідокаїн‑гель (за відсутності алергії) для анальгезії по Z1; капсаїцин високої конц. — поза сеансом.</t>
  </si>
  <si>
    <t>Лідокаїн 5% пластир (PHN/локальна невропатія); капсаїцин 8% у спецкабінеті; системно: дулоксетин/габапентиноїди 1‑ша лінія. За призначенням лікаря.</t>
  </si>
  <si>
    <t>Лаванда, ромашка, меліса, м’ята, імбир</t>
  </si>
  <si>
    <t>Кропива, м’ята, льон, зелений чай</t>
  </si>
  <si>
    <t>ST6</t>
  </si>
  <si>
    <t>Осьова: CV6 (зміцнює Ці, тонус і перистальтика); Локальна: ST6 (жувальний м’яз — бруксизм); Вегетативна: SP6 (SP/LR/KI, тазова/вегетативна регуляція); Фасціальна: SP10 (рухає/очищує Кров); Підтримуюча: GB20 (розсіює «вітер», звільняє голову/очі, шия); Рефлекторно‑кінцева: LI11 (He‑Sea LI — «очищує жар»)</t>
  </si>
  <si>
    <t>1) Верхньошийна сегментарна аферентація до трійчасто-цервікального ядра · 2) Жувальний і скроневий м’язи (Travell): відображений біль у голову · 3) За ТКМ Печінка відкривається в очі · 4) Hui-точка крові — гемодинамічна ланка · 5) Bai-hui та Yin-tang: базова антистрес-вегетативна пара · 6) Дистальна пара верхньої частини тіла; Су-Джок — відповідна зона на КИСТІ</t>
  </si>
  <si>
    <t>Міжреберна невралгія</t>
  </si>
  <si>
    <t>сегментарна</t>
  </si>
  <si>
    <t>GB – BL</t>
  </si>
  <si>
    <t>Грудний сегмент</t>
  </si>
  <si>
    <t>сегмент</t>
  </si>
  <si>
    <t>GB22, BL17</t>
  </si>
  <si>
    <t>Обличчя: грудна; Вухо: грудна</t>
  </si>
  <si>
    <t>Сегмент</t>
  </si>
  <si>
    <t>Пальпаторна оцінка точки «Легені, нижня частка» дає лікарю попередній орієнтир на бронхолегеневий статус і вентиляційний резерв як можливий коморбідний фон при «Міжреберна невралгія». Позитивна ознака (тканинна тугорухливість/болючість) — привід уточнити діагноз додатково: спірометрія, аускультація, SpO2, пульсоксиметрія з навантаженням. Пальпаторний тест не замінює лабораторно-інструментальну діагностику.</t>
  </si>
  <si>
    <t>32. Міжреберна невралгія — переохолодження, остеохондроз | сегментарний спазм</t>
  </si>
  <si>
    <t>Міжреберні Th2–Th8 + паравертебрально Th5–Th9</t>
  </si>
  <si>
    <t>Міжреберні проміжки, BL17, Jiaji</t>
  </si>
  <si>
    <t>Усунення сегментарного спазму, покращення локальної нейропровідності</t>
  </si>
  <si>
    <t>PC7</t>
  </si>
  <si>
    <t>Осьова: CV6 (зміцнює Ці, тонус і перистальтика); Локальна: Ashi (локальний вплив); Вегетативна: SP6 (SP/LR/KI, тазова/вегетативна регуляція); Фасціальна: SP10 (рухає/очищує Кров); Підтримуюча: GB20 (розсіює «вітер», звільняє голову/очі, шия); Рефлекторно‑кінцева: PC7 (заспокоює Шень, «жар у серці»)</t>
  </si>
  <si>
    <t>1) Грудні сегменти, симпатична ланка · 2) Ромбоподібні й підостьовий: міжлопатковий патерн · 3) Back-Shu Легень + нижньодольова проєкція · 4) He-Sea LI — базова протизапально-мікроциркуляторна точка · 5) Bai-hui та Yin-tang: базова антистрес-вегетативна пара · 6) Дистальна пара верхньої частини тіла; Су-Джок — відповідна зона на КИСТІ</t>
  </si>
  <si>
    <t>Постгерпетична невралгія</t>
  </si>
  <si>
    <t>нейродегенеративний</t>
  </si>
  <si>
    <t>Нейровідновлення</t>
  </si>
  <si>
    <t>Постгерпетична</t>
  </si>
  <si>
    <t>нейродегенерація</t>
  </si>
  <si>
    <t>Jiaji, DU14, ST36</t>
  </si>
  <si>
    <t>Локально + Вухо: біль</t>
  </si>
  <si>
    <t>Відновлення</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</si>
  <si>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«Постгерпетична невралгія».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</si>
  <si>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33. Постгерпетична — герпес | нейродегенерація</t>
  </si>
  <si>
    <t>Загальний лімфодренаж</t>
  </si>
  <si>
    <t>Jiaji (уражений сегмент) + загальний лімфодренаж</t>
  </si>
  <si>
    <t>Jiaji, Th-паравертебрально, шийно-грудний дренаж</t>
  </si>
  <si>
    <t>Підтримка нейровідновлення, зменшення нейродегенеративного болю</t>
  </si>
  <si>
    <t>Осьова: CV6 (зміцнює Ці, тонус і перистальтика); Локальна: Ashi (локальний вплив); Вегетативна: SP6 (SP/LR/KI, тазова/вегетативна регуляція); Фасціальна: SP9 (осушує Вологу, антинабрякова); Підтримуюча: LI4 (звільняє поверхню, універсальний анальгетик); Рефлекторно‑кінцева: LI11 (He‑Sea LI — «очищує жар»)</t>
  </si>
  <si>
    <t>1) Нижньогрудні сегменти — вегетативна інтеграція · 2) Трапеція й Gao-huang: генералізований міофасціальний патерн при хронізації · 3) Back-Shu Нирок — вісь гіпоталамус–гіпофіз–наднирники · 4) He-Sea LI — базова протизапально-мікроциркуляторна точка · 5) Bai-hui та Yin-tang: базова антистрес-вегетативна пара · 6) «Чотири брами» (Si Guan) — системна регуляція; Су-Джок — кисть і стопа</t>
  </si>
  <si>
    <t>Полінейропатія</t>
  </si>
  <si>
    <t>дифузна</t>
  </si>
  <si>
    <t>Периферичне живлення</t>
  </si>
  <si>
    <t>ST36, KI3, SP6</t>
  </si>
  <si>
    <t>Пальці; Вухо: периферія</t>
  </si>
  <si>
    <t>Живлення</t>
  </si>
  <si>
    <t>Hara-Lower-Abdomen: 6×9 ≈54</t>
  </si>
  <si>
    <t>Системна нейротрофіка</t>
  </si>
  <si>
    <t>Підшлункова залоза (Pancreas) — передня: 7-е міжребер'я зліва; задня: Th7–Th8 паравертебрально зліва + Нирки (Kidney) — передня: на рівні пупка вздовж краю прямого м'яза живота; задня: між поперечними відростками Th12–L1</t>
  </si>
  <si>
    <t>Послідовна пальпація точок «Підшлункова залоза» та «Нирки» орієнтує лікаря щодо можливого поєднаного коморбідного залучення осей — екзо- та ендокринну функцію підшлункової залози та водно-електролітний баланс і ренін-ангіотензинову регуляцію АТ — на фоні «Полінейропатія». Позитивна реакція хоча б в одній точці — підстава для цілеспрямованого уточнення: глюкоза/HbA1c, амілаза/ліпаза; креатинін, СКФ, електроліти, загальний аналіз сечі. Результат пальпації є попереднім орієнтиром і потребує клініко-лабораторного підтвердження.</t>
  </si>
  <si>
    <t>34. Полінейропатія — токсини, ЦД | аксональне ушкодження</t>
  </si>
  <si>
    <t>Медіальна гомілка + підошва стопи</t>
  </si>
  <si>
    <t>SP6, KI3, KI1</t>
  </si>
  <si>
    <t>Системна нейротрофіка, покращення периферичного крово- та нейроживлення</t>
  </si>
  <si>
    <t>Осьова: CV6 (зміцнює Ці, тонус і перистальтика); Локальна: Ashi (локальний вплив); Вегетативна: SP6 (SP/LR/KI, тазова/вегетативна регуляція); Фасціальна: BL60 (Jing‑River UB — «аспірин меридіанів», біль уздовж спини/шиї); Підтримуюча: KI1 («заземлює», опускає надлишковий Ян); Рефлекторно‑кінцева: SP4 (активує Chong‑mai (з PC6), ШКТ)</t>
  </si>
  <si>
    <t>1) Сегменти великогомілкового/малогомілкового нервів · 2) Литковий м’яз: судоми й ахіллодинія · 3) Back-Shu Селезінки/Підшлункової · 4) Xue-hai — базова мікроциркуляторна точка для кінцівок · 5) Bai-hui та Yin-tang: базова антистрес-вегетативна пара · 6) Дистальна пара нижньої частини тіла; Су-Джок — відповідна зона на СТОПІ</t>
  </si>
  <si>
    <t>Діабетична нейропатія</t>
  </si>
  <si>
    <t>метаболічна</t>
  </si>
  <si>
    <t>ST – KI – SP</t>
  </si>
  <si>
    <t>Метаболічно-нервова вісь</t>
  </si>
  <si>
    <t>Shi-Hara(KI/SP)</t>
  </si>
  <si>
    <t>Hara-Lower-Abdomen+Inguinal ≈80</t>
  </si>
  <si>
    <t>Закріплення ефекту через Су-Джок</t>
  </si>
  <si>
    <t>Пальпаторна оцінка точки «Підшлункова залоза» дає лікарю попередній орієнтир на екзо- та ендокринну функцію підшлункової залози як можливий коморбідний фон при «Діабетична нейропатія». Позитивна ознака (болючість/ущільнення) — привід уточнити діагноз додатково: глюкоза/HbA1c, амілаза/ліпаза. Пальпаторний тест не замінює лабораторно-інструментальну діагностику.</t>
  </si>
  <si>
    <t>35. Діабетична нейропатія — гіперглікемія | мікроангіопатія</t>
  </si>
  <si>
    <t>Підошва стопи + медіальна гомілка</t>
  </si>
  <si>
    <t>KI1, SP6, ST36</t>
  </si>
  <si>
    <t>Вплив на мікроангіопатію, стабілізація метаболічно-нервової осі</t>
  </si>
  <si>
    <t>Осьова: CV6 (зміцнює Ці, тонус і перистальтика); Локальна: Ashi (локальний вплив); Вегетативна: SP6 (SP/LR/KI, тазова/вегетативна регуляція); Фасціальна: ST36 (тонізує Ці/Кров, імуномодуляція); Підтримуюча: KI1 («заземлює», опускає надлишковий Ян); Рефлекторно‑кінцева: SP4 (активує Chong‑mai (з PC6), ШКТ)</t>
  </si>
  <si>
    <t>Парестезії</t>
  </si>
  <si>
    <t>сенсорна</t>
  </si>
  <si>
    <t>LI – ST</t>
  </si>
  <si>
    <t>Сенсорна нормалізація</t>
  </si>
  <si>
    <t>LI11, ST36</t>
  </si>
  <si>
    <t>Пальці; Вухо: сенсор</t>
  </si>
  <si>
    <t>Нормалізація</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</si>
  <si>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«Парестезії».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</si>
  <si>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36. Парестезії — компресія | сенсорна дизрегуляція</t>
  </si>
  <si>
    <t>Центр долоні + підошва стопи</t>
  </si>
  <si>
    <t>PC8, KI1</t>
  </si>
  <si>
    <t>Сенсорна нормалізація, вирівнювання аферентної імпульсації</t>
  </si>
  <si>
    <t>Осьова: CV6 (зміцнює Ці, тонус і перистальтика); Локальна: Ashi (локальний вплив); Вегетативна: SP6 (SP/LR/KI, тазова/вегетативна регуляція); Фасціальна: BL60 (Jing‑River UB — «аспірин меридіанів», біль уздовж спини/шиї); Підтримуюча: LI4 (звільняє поверхню, універсальний анальгетик); Рефлекторно‑кінцева: BL13 (Back‑Shu Легень, виводить «вітер/холод»)</t>
  </si>
  <si>
    <t>1) Сегменти великогомілкового/малогомілкового нервів · 2) Литковий м’яз: судоми й ахіллодинія · 3) Back-Shu Нирок — вісь гіпоталамус–гіпофіз–наднирники · 4) Xue-hai — базова мікроциркуляторна точка для кінцівок · 5) Bai-hui та Yin-tang: базова антистрес-вегетативна пара · 6) Дистальна пара нижньої частини тіла; Су-Джок — відповідна зона на СТОПІ</t>
  </si>
  <si>
    <t>М’язові спазми</t>
  </si>
  <si>
    <t>BL – GB</t>
  </si>
  <si>
    <t>Фасціальне розслаблення</t>
  </si>
  <si>
    <t>Ashi, GB34, BL57</t>
  </si>
  <si>
    <t>М’язова зона; Вухо: м’язи</t>
  </si>
  <si>
    <t>Релакс</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</si>
  <si>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«М’язові спазми».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</si>
  <si>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37. М’язові спазми — перевантаження | фасціальний гіпертонус</t>
  </si>
  <si>
    <t>Задня поверхня стегна + паравертебрально Th12–L5</t>
  </si>
  <si>
    <t>BL36–BL57, поперекові паравертебральні зони</t>
  </si>
  <si>
    <t>Фасціальне розслаблення, зниження м’язового гіпертонусу</t>
  </si>
  <si>
    <t>Осьова: CV6 (зміцнює Ці, тонус і перистальтика); Локальна: Ashi (локальний вплив); Вегетативна: SP6 (SP/LR/KI, тазова/вегетативна регуляція); Фасціальна: GB34 (Hui сухожиль); Підтримуюча: LI4 (звільняє поверхню, універсальний анальгетик); Рефлекторно‑кінцева: LI11 (He‑Sea LI — «очищує жар»)</t>
  </si>
  <si>
    <t>1) Нижньогрудні сегменти — вегетативна інтеграція · 2) Трапеція й Gao-huang: генералізований міофасціальний патерн при хронізації · 3) Back-Shu Нирок — вісь гіпоталамус–гіпофіз–наднирники · 4) Hui-точка сухожиль — фасціально-сухожильна релаксація · 5) Bai-hui та Yin-tang: базова антистрес-вегетативна пара · 6) «Чотири брами» (Si Guan) — системна регуляція; Су-Джок — кисть і стопа</t>
  </si>
  <si>
    <t>Судомний синдром (функц.)</t>
  </si>
  <si>
    <t>нейром’язовий</t>
  </si>
  <si>
    <t>LV – ST</t>
  </si>
  <si>
    <t>Зменшення збудливості</t>
  </si>
  <si>
    <t>Судоми</t>
  </si>
  <si>
    <t>LV3, ST36</t>
  </si>
  <si>
    <t>Стопа: арка; Вухо: мотор</t>
  </si>
  <si>
    <t>Збудливість</t>
  </si>
  <si>
    <t>Нирки (Kidney) — передня: на рівні пупка вздовж краю прямого м'яза живота; задня: між поперечними відростками Th12–L1</t>
  </si>
  <si>
    <t>Пальпаторна оцінка точки «Нирки» дає лікарю попередній орієнтир на водно-електролітний баланс і ренін-ангіотензинову регуляцію АТ як можливий коморбідний фон при «Судомний синдром (функц.)». Позитивна ознака (локальна тканинна тугорухливість/болючість) — привід уточнити діагноз додатково: креатинін, СКФ, електроліти, загальний аналіз сечі. Пальпаторний тест не замінює лабораторно-інструментальну діагностику.</t>
  </si>
  <si>
    <t>38. Судомний синдром — дефіцит Mg | нейрональна збудливість</t>
  </si>
  <si>
    <t>SP6, LV3, KI1</t>
  </si>
  <si>
    <t>Зменшення нейрональної збудливості, стабілізація моторного контуру</t>
  </si>
  <si>
    <t>Осьова: CV6 (зміцнює Ці, тонус і перистальтика); Локальна: Ashi (локальний вплив); Вегетативна: SP6 (SP/LR/KI, тазова/вегетативна регуляція); Фасціальна: BL62 (відкриває Ян‑цяо‑май, стабілізує гомілково‑ступневий вузол); Підтримуюча: GB20 (розсіює «вітер», звільняє голову/очі, шия); Рефлекторно‑кінцева: LI11 (He‑Sea LI — «очищує жар»)</t>
  </si>
  <si>
    <t>1) Сегменти великогомілкового/малогомілкового нервів · 2) Литковий м’яз: судоми й ахіллодинія · 3) Back-Shu Нирок · 4) Xue-hai — базова мікроциркуляторна точка для кінцівок · 5) Bai-hui та Yin-tang: базова антистрес-вегетативна пара · 6) Дистальна пара нижньої частини тіла; Су-Джок — відповідна зона на СТОПІ</t>
  </si>
  <si>
    <t>Синдром неспокійних ніг</t>
  </si>
  <si>
    <t>KI – LV</t>
  </si>
  <si>
    <t>Глибинна регуляція</t>
  </si>
  <si>
    <t>Неспокійні ноги</t>
  </si>
  <si>
    <t>глибинний</t>
  </si>
  <si>
    <t>KI3, LV3, ST36</t>
  </si>
  <si>
    <t>Стопа: п’ята; Вухо: нирки</t>
  </si>
  <si>
    <t>Глибина</t>
  </si>
  <si>
    <t>Нижній Hara ≈60</t>
  </si>
  <si>
    <t>Нічна стабілізація</t>
  </si>
  <si>
    <t>Селезінка (Spleen) — передня: 7-е міжребер'я зліва, латеральніше точки підшлункової; задня: Th7 паравертебрально зліва</t>
  </si>
  <si>
    <t>Пальпаторна оцінка точки «Селезінка» дає лікарю попередній орієнтир на імунно-лімфоретикулярну активність та кровотворення як можливий коморбідний фон при «Синдром неспокійних ніг». Позитивна ознака (тканинна тугорухливість) — привід уточнити діагноз додатково: загальний аналіз крові, феритин, імунограма за показами. Пальпаторний тест не замінює лабораторно-інструментальну діагностику.</t>
  </si>
  <si>
    <t>39. Синдром неспокійних ніг — дефіцит заліза | допамінова дисфункція</t>
  </si>
  <si>
    <t>Підколінна ямка + підошва стопи</t>
  </si>
  <si>
    <t>BL40, KI1, KI3</t>
  </si>
  <si>
    <t>Нічна вегетативна стабілізація, вплив на дофамінергічну регуляцію</t>
  </si>
  <si>
    <t>CV22</t>
  </si>
  <si>
    <t>Осьова: CV6 (зміцнює Ці, тонус і перистальтика); Локальна: BL40 (охолоджує кров, знеболює поперек/ногу); Вегетативна: SP6 (SP/LR/KI, тазова/вегетативна регуляція); Фасціальна: BL62 (відкриває Ян‑цяо‑май, стабілізує гомілково‑ступневий вузол); Підтримуюча: CV22 (гортань/дихальні шляхи); Рефлекторно‑кінцева: SP4 (активує Chong‑mai (з PC6), ШКТ)</t>
  </si>
  <si>
    <t>1) Сегменти стегнового нерва · 2) Квадрицепс і латеральний ретинакулум · 3) Back-Shu Селезінки · 4) Xue-hai — базова мікроциркуляторна точка для кінцівок · 5) Bai-hui та Yin-tang: базова антистрес-вегетативна пара · 6) Дистальна пара нижньої частини тіла; Су-Джок — відповідна зона на СТОПІ</t>
  </si>
  <si>
    <t>Сколіоз (функц.)</t>
  </si>
  <si>
    <t>осьовий</t>
  </si>
  <si>
    <t>Осьова стабілізація</t>
  </si>
  <si>
    <t>Сколіоз</t>
  </si>
  <si>
    <t>DU4, Jiaji, BL23</t>
  </si>
  <si>
    <t>Хребет проєкція; Вухо: хребет</t>
  </si>
  <si>
    <t>Вісь</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</si>
  <si>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«Сколіоз (функц.)».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</si>
  <si>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40. Сколіоз — постуральні порушення | асиметрія росту</t>
  </si>
  <si>
    <t>Паравертебрально Th12–L5 + Jiaji</t>
  </si>
  <si>
    <t>DU4, Jiaji асиметрично</t>
  </si>
  <si>
    <t>Осьова стабілізація, зменшення сегментарної асиметрії</t>
  </si>
  <si>
    <t>Осьова: CV6 (зміцнює Ці, тонус і перистальтика); Локальна: Ashi (локальний вплив); Вегетативна: SP6 (SP/LR/KI, тазова/вегетативна регуляція); Фасціальна: SP10 (рухає/очищує Кров); Підтримуюча: LI4 (звільняє поверхню, універсальний анальгетик); Рефлекторно‑кінцева: BL60 (Jing‑River UB — «аспірин меридіанів», біль уздовж спини/шиї)</t>
  </si>
  <si>
    <t>Кіфоз</t>
  </si>
  <si>
    <t>постуральний</t>
  </si>
  <si>
    <t>Осьова корекція</t>
  </si>
  <si>
    <t>DU14, BL23</t>
  </si>
  <si>
    <t>Корекція</t>
  </si>
  <si>
    <t>Пальпаторна оцінка точки «Щитоподібна/паращитоподібні залози» дає лікарю попередній орієнтир на тиреоїдний метаболічний статус та кальцієвий обмін як можливий коморбідний фон при «Кіфоз». Позитивна ознака (гіперестезія або вузликове ущільнення) — привід уточнити діагноз додатково: ТТГ, вільний Т4, за потреби кальцій/ПТГ. Пальпаторний тест не замінює лабораторно-інструментальну діагностику.</t>
  </si>
  <si>
    <t>41. Кіфоз — остеопороз | постуральна фіксація</t>
  </si>
  <si>
    <t>DU14, Jiaji Th5–Th9</t>
  </si>
  <si>
    <t>Осьове прогрівання → зменшення постуральної фіксації, покращення трофіки звʼязково-кісткових структур</t>
  </si>
  <si>
    <t>Осьова: CV6 (зміцнює Ці, тонус і перистальтика); Локальна: Ashi (локальний вплив); Вегетативна: SP6 (SP/LR/KI, тазова/вегетативна регуляція); Фасціальна: BL57 (литкові судоми, геморой (класично)); Підтримуюча: GV24 (заспокоює Шень, фронтальний біль); Рефлекторно‑кінцева: LI11 (He‑Sea LI — «очищує жар»)</t>
  </si>
  <si>
    <t>1) Сегменти плечового сплетення · 2) Підостьовий і дельтоподібний: відображення в руку · 3) Шийно-грудний перехід; уникнуто CV22 через близькість трахеї · 4) He-Sea LI — базова протизапально-мікроциркуляторна точка · 5) Bai-hui та Yin-tang: базова антистрес-вегетативна пара · 6) Дистальна пара верхньої частини тіла; Су-Джок — відповідна зона на КИСТІ</t>
  </si>
  <si>
    <t>Лордоз</t>
  </si>
  <si>
    <t>Сегментарний баланс</t>
  </si>
  <si>
    <t>DU3, BL25</t>
  </si>
  <si>
    <t>Баланс</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</si>
  <si>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«Лордоз».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</si>
  <si>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42. Лордоз — м’язовий дисбаланс | біомеханічне перевантаження</t>
  </si>
  <si>
    <t>Живіт (Hara)</t>
  </si>
  <si>
    <t>Нижній поперек + нижній Hara</t>
  </si>
  <si>
    <t>DU3, BL25, CV6</t>
  </si>
  <si>
    <t>Баланс згиначів/розгиначів → нормалізація біомеханіки тазо-поперекового сегмента</t>
  </si>
  <si>
    <t>Остеопороз</t>
  </si>
  <si>
    <t>Кісткова вісь</t>
  </si>
  <si>
    <t>KI3, BL23, ST36</t>
  </si>
  <si>
    <t>П’ята; Вухо: кістки</t>
  </si>
  <si>
    <t>Кістка</t>
  </si>
  <si>
    <t>Пальпаторна оцінка точки «Щитоподібна/паращитоподібні залози» дає лікарю попередній орієнтир на тиреоїдний метаболічний статус та кальцієвий обмін як можливий коморбідний фон при «Остеопороз». Позитивна ознака (гіперестезія або вузликове ущільнення) — привід уточнити діагноз додатково: ТТГ, вільний Т4, за потреби кальцій/ПТГ. Пальпаторний тест не замінює лабораторно-інструментальну діагностику.</t>
  </si>
  <si>
    <t>43. Остеопороз — гормональні зміни | демінералізація</t>
  </si>
  <si>
    <t>Нижній Hara + поперек</t>
  </si>
  <si>
    <t>KI1, KI3, BL23, CV4</t>
  </si>
  <si>
    <t>Активація осі Нирки–Кістка → уповільнення демінералізації</t>
  </si>
  <si>
    <t>Осьова: CV6 (зміцнює Ці, тонус і перистальтика); Локальна: Ashi (локальний вплив); Вегетативна: SP6 (SP/LR/KI, тазова/вегетативна регуляція); Фасціальна: BL57 (литкові судоми, геморой (класично)); Підтримуюча: BL58 (Luo UB — знімає тяжкість литки); Рефлекторно‑кінцева: BL23 (Back‑Shu Нирок, зміцнює поперек)</t>
  </si>
  <si>
    <t>1) Сегменти великогомілкового/малогомілкового нервів · 2) Литковий м’яз: судоми й ахіллодинія · 3) Шийно-грудний перехід; уникнуто CV22 через близькість трахеї · 4) Xue-hai — базова мікроциркуляторна точка для кінцівок · 5) Bai-hui та Yin-tang: базова антистрес-вегетативна пара · 6) Дистальна пара нижньої частини тіла; Су-Джок — відповідна зона на СТОПІ</t>
  </si>
  <si>
    <t>Переломи (реаб.)</t>
  </si>
  <si>
    <t>відновлювальний</t>
  </si>
  <si>
    <t>Репаративна стимуляція</t>
  </si>
  <si>
    <t>репарація</t>
  </si>
  <si>
    <t>ST36, KI3</t>
  </si>
  <si>
    <t>Локально; Вухо: загоєння</t>
  </si>
  <si>
    <t>Нижній Hara ≈50</t>
  </si>
  <si>
    <t>Репарація</t>
  </si>
  <si>
    <t>Послідовна пальпація точок «Наднирники» та «Нирки» орієнтує лікаря щодо можливого поєднаного коморбідного залучення осей — гіпоталамо-гіпофізарно-надниркова (HPA) вісь, стрес-реактивність і системне запалення та водно-електролітний баланс і ренін-ангіотензинову регуляцію АТ — на фоні «Переломи (реаб.)». Позитивна реакція хоча б в одній точці — підстава для цілеспрямованого уточнення: кортизол (ранковий/добовий ритм), АКТГ, електроліти; креатинін, СКФ, електроліти, загальний аналіз сечі. Результат пальпації є попереднім орієнтиром і потребує клініко-лабораторного підтвердження.</t>
  </si>
  <si>
    <t>44. Переломи (реаб.) — травма | уповільнена регенерація</t>
  </si>
  <si>
    <t>Паравертебрально</t>
  </si>
  <si>
    <t>Локально над зоною репарації</t>
  </si>
  <si>
    <t>ST36, KI3, локальні Ashi</t>
  </si>
  <si>
    <t>Прискорення репаративних процесів, покращення мікроциркуляції та остеогенезу</t>
  </si>
  <si>
    <t>Осьова: CV6 (зміцнює Ці, тонус і перистальтика); Локальна: Ashi (локальний вплив); Вегетативна: SP6 (SP/LR/KI, тазова/вегетативна регуляція); Фасціальна: SP10 (рухає/очищує Кров); Підтримуюча: GB20 (розсіює «вітер», звільняє голову/очі, шия); Рефлекторно‑кінцева: LI11 (He‑Sea LI — «очищує жар»)</t>
  </si>
  <si>
    <t>Фіброміалгія</t>
  </si>
  <si>
    <t>дифузно-больовий</t>
  </si>
  <si>
    <t>BL – LV</t>
  </si>
  <si>
    <t>Системний біль</t>
  </si>
  <si>
    <t>дифузний біль</t>
  </si>
  <si>
    <t>BL18, ST36, Ashi</t>
  </si>
  <si>
    <t>Дифузно; Вухо: біль</t>
  </si>
  <si>
    <t>Системно</t>
  </si>
  <si>
    <t>Послідовна пальпація точок «Наднирники» та «Щитоподібна/паращитоподібні залози» орієнтує лікаря щодо можливого поєднаного коморбідного залучення осей — гіпоталамо-гіпофізарно-надниркова (HPA) вісь, стрес-реактивність і системне запалення та тиреоїдний метаболічний статус та кальцієвий обмін — на фоні «Фіброміалгія». Позитивна реакція хоча б в одній точці — підстава для цілеспрямованого уточнення: кортизол (ранковий/добовий ритм), АКТГ, електроліти; ТТГ, вільний Т4, за потреби кальцій/ПТГ. Результат пальпації є попереднім орієнтиром і потребує клініко-лабораторного підтвердження.</t>
  </si>
  <si>
    <t>45. Фіброміалгія — стрес | центральна сенситизація</t>
  </si>
  <si>
    <t>Діафрагма + грудо-поперековий перехід</t>
  </si>
  <si>
    <t>CV17, BL17, BL18</t>
  </si>
  <si>
    <t>Зменшення центральної сенситизації через регуляцію дихально-вегетативної осі</t>
  </si>
  <si>
    <t>Осьова: CV6 (зміцнює Ці, тонус і перистальтика); Локальна: Ashi (локальний вплив); Вегетативна: SP6 (SP/LR/KI, тазова/вегетативна регуляція); Фасціальна: BL60 (Jing‑River UB — «аспірин меридіанів», біль уздовж спини/шиї); Підтримуюча: BL58 (Luo UB — знімає тяжкість литки); Рефлекторно‑кінцева: SP4 (активує Chong‑mai (з PC6), ШКТ)</t>
  </si>
  <si>
    <t>1) Нижньогрудні сегменти — вегетативна інтеграція · 2) Трапеція й Gao-huang: генералізований міофасціальний патерн при хронізації · 3) Back-Shu Нирок — вісь гіпоталамус–гіпофіз–наднирники · 4) Hui-точка крові — гемодинамічна ланка · 5) Bai-hui та Yin-tang: базова антистрес-вегетативна пара · 6) «Чотири брами» (Si Guan) — системна регуляція; Су-Джок — кисть і стопа</t>
  </si>
  <si>
    <t>Хронічний больовий синдром</t>
  </si>
  <si>
    <t>центральний</t>
  </si>
  <si>
    <t>DU – ST</t>
  </si>
  <si>
    <t>Центральна модуляція</t>
  </si>
  <si>
    <t>Хронічний біль</t>
  </si>
  <si>
    <t>GV20, ST36</t>
  </si>
  <si>
    <t>Центр; Вухо: аналгезія</t>
  </si>
  <si>
    <t>ЦНС</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</si>
  <si>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«Хронічний больовий синдром».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</si>
  <si>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46. Хронічний біль — тривала ноцицепція | ЦНС-фіксація</t>
  </si>
  <si>
    <t>Паравертебрально + нижній Hara</t>
  </si>
  <si>
    <t>DU4, CV6, BL23</t>
  </si>
  <si>
    <t>Розрив хронічної ноцицептивної фіксації, активація антиноцицептивних резервів</t>
  </si>
  <si>
    <t>Осьова: CV6 (зміцнює Ці, тонус і перистальтика); Локальна: Ashi (локальний вплив); Вегетативна: SP6 (SP/LR/KI, тазова/вегетативна регуляція); Фасціальна: GB34 (Hui сухожиль); Підтримуюча: GV24 (заспокоює Шень, фронтальний біль); Рефлекторно‑кінцева: BL28 (Back‑Shu Сечового міхура)</t>
  </si>
  <si>
    <t>Вегетосудинна дистонія</t>
  </si>
  <si>
    <t>ВСД</t>
  </si>
  <si>
    <t>Міжбрів’я; Вухо: симпатик</t>
  </si>
  <si>
    <t>Hara-Cranial-Central ≈35</t>
  </si>
  <si>
    <t>ВНС стабілізація</t>
  </si>
  <si>
    <t>Послідовна пальпація точок «Наднирники» та «Щитоподібна/паращитоподібні залози» орієнтує лікаря щодо можливого поєднаного коморбідного залучення осей — гіпоталамо-гіпофізарно-надниркова (HPA) вісь, стрес-реактивність і системне запалення та тиреоїдний метаболічний статус та кальцієвий обмін — на фоні «Вегетосудинна дистонія». Позитивна реакція хоча б в одній точці — підстава для цілеспрямованого уточнення: кортизол (ранковий/добовий ритм), АКТГ, електроліти; ТТГ, вільний Т4, за потреби кальцій/ПТГ. Результат пальпації є попереднім орієнтиром і потребує клініко-лабораторного підтвердження.</t>
  </si>
  <si>
    <t>47. ВСД — стрес | ВНС-дисбаланс</t>
  </si>
  <si>
    <t>GV20, GB20, CV17</t>
  </si>
  <si>
    <t>Заспокоєння симпато-адреналової гіперактивації, стабілізація ВНС</t>
  </si>
  <si>
    <t>Осьова: CV6 (зміцнює Ці, тонус і перистальтика); Локальна: Ashi (локальний вплив); Вегетативна: SP6 (SP/LR/KI, тазова/вегетативна регуляція); Фасціальна: ST36 (тонізує Ці/Кров, імуномодуляція); Підтримуюча: EX-HN3 (підтримка/анальгезія); Рефлекторно‑кінцева: BL60 (Jing‑River UB — «аспірин меридіанів», біль уздовж спини/шиї)</t>
  </si>
  <si>
    <t>Панічні атаки</t>
  </si>
  <si>
    <t>Центр стабілізації</t>
  </si>
  <si>
    <t>PC6, HT7, GV20</t>
  </si>
  <si>
    <t>Shi-Cranio-Neuro</t>
  </si>
  <si>
    <t>Лобно-скронева 5×7≈35</t>
  </si>
  <si>
    <t>Купірування симпато-адреналових піків → ЕМХ стабілізація</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</si>
  <si>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«Панічні атаки».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</si>
  <si>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48. Панічні атаки — психотравма | симпатична гіперактивація</t>
  </si>
  <si>
    <t>Купірування симпато-адреналових піків → стабілізація ЕМХ</t>
  </si>
  <si>
    <t>Осьова: CV6 (зміцнює Ці, тонус і перистальтика); Локальна: Ashi (локальний вплив); Вегетативна: HT7 (заспокоює Шень, нормалізує сон); Фасціальна: SP10 (рухає/очищує Кров); Підтримуюча: LI4 (звільняє поверхню, універсальний анальгетик); Рефлекторно‑кінцева: BL60 (Jing‑River UB — «аспірин меридіанів», біль уздовж спини/шиї)</t>
  </si>
  <si>
    <t>ПТСР (функц.)</t>
  </si>
  <si>
    <t>DU – LV</t>
  </si>
  <si>
    <t>Стрес-вісь</t>
  </si>
  <si>
    <t>ПТСР</t>
  </si>
  <si>
    <t>стрес-вісь</t>
  </si>
  <si>
    <t>GV20, LV3</t>
  </si>
  <si>
    <t>Лоб; Вухо: антистрес</t>
  </si>
  <si>
    <t>Краніальна 30 + правий Hara 50</t>
  </si>
  <si>
    <t>Зниження патологічних тригерів памʼяті</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</si>
  <si>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«ПТСР (функц.)».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</si>
  <si>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49. ПТСР — травма | гіпокампова дисфункція</t>
  </si>
  <si>
    <t>Зниження патологічних тригерів пам’яті</t>
  </si>
  <si>
    <t>Осьова: CV6 (зміцнює Ці, тонус і перистальтика); Локальна: Ashi (локальний вплив); Вегетативна: SP6 (SP/LR/KI, тазова/вегетативна регуляція); Фасціальна: BL57 (литкові судоми, геморой (класично)); Підтримуюча: KI1 («заземлює», опускає надлишковий Ян); Рефлекторно‑кінцева: LI11 (He‑Sea LI — «очищує жар»)</t>
  </si>
  <si>
    <t>BL47 + GV11</t>
  </si>
  <si>
    <t>1) Нижньогрудні сегменти — вегетативна інтеграція · 2) Трапеція й Gao-huang: генералізований міофасціальний патерн при хронізації · 3) Back-Shu Нирок — вісь гіпоталамус–гіпофіз–наднирники · 4) He-Sea LI — базова протизапально-мікроциркуляторна точка · 5) Hun-men («ворота Хунь») і Shen-dao: емоційна вісь Печінки/Серця при ПТСР · 6) «Чотири брами» (Si Guan) — системна регуляція; Су-Джок — кисть і стопа</t>
  </si>
  <si>
    <t>Когнітивне зниження</t>
  </si>
  <si>
    <t>церебральний</t>
  </si>
  <si>
    <t>ЦНС + енергія</t>
  </si>
  <si>
    <t>Лоб; Вухо: мозок</t>
  </si>
  <si>
    <t>Пластичність</t>
  </si>
  <si>
    <t>Тім’яна зона 5×5≈25</t>
  </si>
  <si>
    <t>Активація нейропластичності</t>
  </si>
  <si>
    <t>Краніо-цервікальна (церебральна) вісь — передня: верхній край лобної кістки; задня: субокципітальна зона C0–C1 + Щитоподібна/паращитоподібні залози (Thyroid/Parathyroid) — передня: 2-е міжребер'я біля краю грудини; задня: паравертебрально на рівні C2–C3</t>
  </si>
  <si>
    <t>Послідовна пальпація точок «Краніо-цервікальна» та «Щитоподібна/паращитоподібні залози» орієнтує лікаря щодо можливого поєднаного коморбідного залучення осей — краніальну гемо- та ліквородинаміку та тиреоїдний метаболічний статус та кальцієвий обмін — на фоні «Когнітивне зниження». Позитивна реакція хоча б в одній точці — підстава для цілеспрямованого уточнення: неврологічний огляд, за показами нейровізуалізація; ТТГ, вільний Т4, за потреби кальцій/ПТГ. Результат пальпації є попереднім орієнтиром і потребує клініко-лабораторного підтвердження.</t>
  </si>
  <si>
    <t>50. Когнітивне зниження — судинні чинники | гіпоперфузія</t>
  </si>
  <si>
    <t>Підпотиличні</t>
  </si>
  <si>
    <t>Активація нейропластичності при судинній гіпоперфузії</t>
  </si>
  <si>
    <t>BL25</t>
  </si>
  <si>
    <t>Осьова: CV6 (зміцнює Ці, тонус і перистальтика); Локальна: Ashi (локальний вплив); Вегетативна: SP6 (SP/LR/KI, тазова/вегетативна регуляція); Фасціальна: ST40 (перетворює слиз/флегму); Підтримуюча: GV24 (заспокоює Шень, фронтальний біль); Рефлекторно‑кінцева: BL25 (Back‑Shu Товстої кишки)</t>
  </si>
  <si>
    <t>1) Верхньошийна сегментарна аферентація до трійчасто-цервікального ядра · 2) Жувальний і скроневий м’язи (Travell): відображений біль у голову · 3) Підпотилична сегментарна регуляція краніо-цервікальної осі · 4) He-Sea LI — базова протизапально-мікроциркуляторна точка · 5) Bai-hui та Yin-tang: базова антистрес-вегетативна пара · 6) Дистальна пара верхньої частини тіла; Су-Джок — відповідна зона на КИСТІ</t>
  </si>
  <si>
    <t>Початкова деменція</t>
  </si>
  <si>
    <t>DU – KI</t>
  </si>
  <si>
    <t>Центрально-глибинна вісь</t>
  </si>
  <si>
    <t>Краніо-ниркова вісь ≈75</t>
  </si>
  <si>
    <t>GV20, KI3, ST36</t>
  </si>
  <si>
    <t>Підтримка глибинних регуляторів</t>
  </si>
  <si>
    <t>Послідовна пальпація точок «Краніо-цервікальна» та «Щитоподібна/паращитоподібні залози» орієнтує лікаря щодо можливого поєднаного коморбідного залучення осей — краніальну гемо- та ліквородинаміку та тиреоїдний метаболічний статус та кальцієвий обмін — на фоні «Початкова деменція». Позитивна реакція хоча б в одній точці — підстава для цілеспрямованого уточнення: неврологічний огляд, за показами нейровізуалізація; ТТГ, вільний Т4, за потреби кальцій/ПТГ. Результат пальпації є попереднім орієнтиром і потребує клініко-лабораторного підтвердження.</t>
  </si>
  <si>
    <t>51. Деменція (поч.) — нейродегенерація | ацетилхоліновий дефіцит</t>
  </si>
  <si>
    <t>Підтримка глибинних регуляторів при ацетилхоліновому дефіциті</t>
  </si>
  <si>
    <t>GB14</t>
  </si>
  <si>
    <t>Осьова: CV6 (зміцнює Ці, тонус і перистальтика); Локальна: GB14 (фронтальний головний біль/очі); Вегетативна: SP6 (SP/LR/KI, тазова/вегетативна регуляція); Фасціальна: BL60 (Jing‑River UB — «аспірин меридіанів», біль уздовж спини/шиї); Підтримуюча: LI4 (звільняє поверхню, універсальний анальгетик); Рефлекторно‑кінцева: SP4 (активує Chong‑mai (з PC6), ШКТ)</t>
  </si>
  <si>
    <t>Хвороба Паркінсона (рання)</t>
  </si>
  <si>
    <t>моторна</t>
  </si>
  <si>
    <t>DU – GB</t>
  </si>
  <si>
    <t>Рухова регуляція</t>
  </si>
  <si>
    <t>Хвороба Паркінсона</t>
  </si>
  <si>
    <t>центрально-моторний</t>
  </si>
  <si>
    <t>GV20, GB34, ST36, KI3</t>
  </si>
  <si>
    <t>Лоб; Кисть: великий+середній; Стопа: арка; Вухо: моторна кора</t>
  </si>
  <si>
    <t>Дофамінергічна регуляція</t>
  </si>
  <si>
    <t>Shi-Cranio-Motor</t>
  </si>
  <si>
    <t>Краніальна + латеральні моторні зони ≈45</t>
  </si>
  <si>
    <t>Зменшення ригідності перед ЕМХ</t>
  </si>
  <si>
    <t>Краніо-цервікальна (церебральна) вісь — передня: верхній край лобної кістки; задня: субокципітальна зона C0–C1</t>
  </si>
  <si>
    <t>Пальпаторна оцінка точки «Краніо-цервікальна» дає лікарю попередній орієнтир на краніальну гемо- та ліквородинаміку як можливий коморбідний фон при «Хвороба Паркінсона (рання)». Позитивна ознака (тканинна тугорухливість субокципітально) — привід уточнити діагноз додатково: неврологічний огляд, за показами нейровізуалізація. Пальпаторний тест не замінює лабораторно-інструментальну діагностику.</t>
  </si>
  <si>
    <t>52. Паркінсон — нейродегенерація | дофаміновий дефіцит</t>
  </si>
  <si>
    <t>Зменшення ригідності, дофамінергічна регуляція перед ЕМХ</t>
  </si>
  <si>
    <t>Осьова: CV6 (зміцнює Ці, тонус і перистальтика); Локальна: Ashi (локальний вплив); Вегетативна: SP6 (SP/LR/KI, тазова/вегетативна регуляція); Фасціальна: SP9 (осушує Вологу, антинабрякова); Підтримуюча: KI1 («заземлює», опускає надлишковий Ян); Рефлекторно‑кінцева: SP4 (активує Chong‑mai (з PC6), ШКТ)</t>
  </si>
  <si>
    <t>1) Сегменти великогомілкового/малогомілкового нервів · 2) Литковий м’яз: судоми й ахіллодинія · 3) Підпотилична сегментарна регуляція краніо-цервікальної осі · 4) Xue-hai — базова мікроциркуляторна точка для кінцівок · 5) Shen-tang і Zhao-hai: інь-цяо-май, регуляція засинання · 6) Дистальна пара нижньої частини тіла; Су-Джок — відповідна зона на СТОПІ</t>
  </si>
  <si>
    <t>Тремор</t>
  </si>
  <si>
    <t>моторний</t>
  </si>
  <si>
    <t>LV – DU</t>
  </si>
  <si>
    <t>Контроль руху</t>
  </si>
  <si>
    <t>Тремор (есенц.)</t>
  </si>
  <si>
    <t>екстрапірамідний</t>
  </si>
  <si>
    <t>LV3, GB34, GV20</t>
  </si>
  <si>
    <t>Лоб; Пальці; Стопа: арка; Вухо: мотор</t>
  </si>
  <si>
    <t>Зниження збудливості</t>
  </si>
  <si>
    <t>Лобно-центральна ≈30</t>
  </si>
  <si>
    <t>Зниження патологічної збудливості</t>
  </si>
  <si>
    <t>Пальпаторна оцінка точки «Щитоподібна/паращитоподібні залози» дає лікарю попередній орієнтир на тиреоїдний метаболічний статус та кальцієвий обмін як можливий коморбідний фон при «Тремор». Позитивна ознака (гіперестезія або вузликове ущільнення) — привід уточнити діагноз додатково: ТТГ, вільний Т4, за потреби кальцій/ПТГ. Пальпаторний тест не замінює лабораторно-інструментальну діагностику.</t>
  </si>
  <si>
    <t>53. Тремор — вегетативний | моторна дизрегуляція</t>
  </si>
  <si>
    <t>Зниження патологічної збудливості при екстрапірамідній дизрегуляції</t>
  </si>
  <si>
    <t>Осьова: CV6 (зміцнює Ці, тонус і перистальтика); Локальна: Ashi (локальний вплив); Вегетативна: SP6 (SP/LR/KI, тазова/вегетативна регуляція); Фасціальна: BL60 (Jing‑River UB — «аспірин меридіанів», біль уздовж спини/шиї); Підтримуюча: EX-HN3 (підтримка/анальгезія); Рефлекторно‑кінцева: SP4 (активує Chong‑mai (з PC6), ШКТ)</t>
  </si>
  <si>
    <t>Інсульт (реаб.)</t>
  </si>
  <si>
    <t>нейровідновлення</t>
  </si>
  <si>
    <t>нейропластичний</t>
  </si>
  <si>
    <t>GV20, ST36, LI11</t>
  </si>
  <si>
    <t>Лоб; Паретична кисть; Стопа; Вухо: мозок</t>
  </si>
  <si>
    <t>Відновлення шляхів</t>
  </si>
  <si>
    <t>Shi-Cranio + Shi-Hara(ST)</t>
  </si>
  <si>
    <t>Краніо-абдомінальна ≈90</t>
  </si>
  <si>
    <t>Підсилення нейропластичності</t>
  </si>
  <si>
    <t>Краніо-цервікальна (церебральна) вісь — передня: верхній край лобної кістки; задня: субокципітальна зона C0–C1 + Серце (Heart) — передня: 2-е міжребер'я зліва біля грудини; задня: Th2 паравертебрально зліва</t>
  </si>
  <si>
    <t>Послідовна пальпація точок «Краніо-цервікальна» та «Серце» орієнтує лікаря щодо можливого поєднаного коморбідного залучення осей — краніальну гемо- та ліквородинаміку та кардіальну вегетативну регуляцію — на фоні «Інсульт (реаб.)». Позитивна реакція хоча б в одній точці — підстава для цілеспрямованого уточнення: неврологічний огляд, за показами нейровізуалізація; ЕКГ, АТ, за показами — ЕхоКГ. Результат пальпації є попереднім орієнтиром і потребує клініко-лабораторного підтвердження.</t>
  </si>
  <si>
    <t>54. Інсульт (реаб.) — ішемія | нейропластичність</t>
  </si>
  <si>
    <t>Підсилення нейропластичності, відновлення рухових шляхів</t>
  </si>
  <si>
    <t>Осьова: CV6 (зміцнює Ці, тонус і перистальтика); Локальна: Ashi (локальний вплив); Вегетативна: SP6 (SP/LR/KI, тазова/вегетативна регуляція); Фасціальна: ST36 (тонізує Ці/Кров, імуномодуляція); Підтримуюча: LI4 (звільняє поверхню, універсальний анальгетик); Рефлекторно‑кінцева: SP4 (активує Chong‑mai (з PC6), ШКТ)</t>
  </si>
  <si>
    <t>1) Сегменти великогомілкового/малогомілкового нервів · 2) Литковий м’яз: судоми й ахіллодинія · 3) Підпотилична сегментарна регуляція краніо-цервікальної осі · 4) Xue-hai — базова мікроциркуляторна точка для кінцівок · 5) Bai-hui та Yin-tang: базова антистрес-вегетативна пара · 6) Дистальна пара нижньої частини тіла; Су-Джок — відповідна зона на СТОПІ</t>
  </si>
  <si>
    <t>Афазія (реаб.)</t>
  </si>
  <si>
    <t>церебральна</t>
  </si>
  <si>
    <t>DU – HT</t>
  </si>
  <si>
    <t>Мовні зони</t>
  </si>
  <si>
    <t>Афазія</t>
  </si>
  <si>
    <t>мовний центр</t>
  </si>
  <si>
    <t>GV20, HT5, DU15</t>
  </si>
  <si>
    <t>Рот; Кисть: мізинець; Стопа; Вухо: мовні зони</t>
  </si>
  <si>
    <t>Мовна активація</t>
  </si>
  <si>
    <t>Shi-Cranio-Speech</t>
  </si>
  <si>
    <t>Ліва фронто-скронева ≈35</t>
  </si>
  <si>
    <t>Активація мовних зон</t>
  </si>
  <si>
    <t>Пальпаторна оцінка точки «Краніо-цервікальна» дає лікарю попередній орієнтир на краніальну гемо- та ліквородинаміку як можливий коморбідний фон при «Афазія (реаб.)». Позитивна ознака (тканинна тугорухливість субокципітально) — привід уточнити діагноз додатково: неврологічний огляд, за показами нейровізуалізація. Пальпаторний тест не замінює лабораторно-інструментальну діагностику.</t>
  </si>
  <si>
    <t>55. Афазія — ураження мовних зон | кортикальна дисфункція</t>
  </si>
  <si>
    <t>Шия (бокові)</t>
  </si>
  <si>
    <t>Долоня</t>
  </si>
  <si>
    <t>Активація мовних зон при кортикальній дисфункції</t>
  </si>
  <si>
    <t>Осьова: CV6 (зміцнює Ці, тонус і перистальтика); Локальна: Ashi (локальний вплив); Вегетативна: SP6 (SP/LR/KI, тазова/вегетативна регуляція); Фасціальна: LV13 (вплив на SP/LR, фасція передньобокова); Підтримуюча: LI4 (звільняє поверхню, універсальний анальгетик); Рефлекторно‑кінцева: SP4 (активує Chong‑mai (з PC6), ШКТ)</t>
  </si>
  <si>
    <t>1) Нижньогрудні сегменти — вегетативна інтеграція · 2) Трапеція й Gao-huang: генералізований міофасціальний патерн при хронізації · 3) Підпотилична сегментарна регуляція краніо-цервікальної осі · 4) He-Sea LI — базова протизапально-мікроциркуляторна точка · 5) Bai-hui та Yin-tang: базова антистрес-вегетативна пара · 6) «Чотири брами» (Si Guan) — системна регуляція; Су-Джок — кисть і стопа</t>
  </si>
  <si>
    <t>Запаморочення</t>
  </si>
  <si>
    <t>вестибулярний</t>
  </si>
  <si>
    <t>GB – DU</t>
  </si>
  <si>
    <t>Краніальний баланс</t>
  </si>
  <si>
    <t>GB20, GV20, ST36</t>
  </si>
  <si>
    <t>Потилиця; Кисть: центр; Стопа; Вухо: вестибул</t>
  </si>
  <si>
    <t>Потилична зона ≈30</t>
  </si>
  <si>
    <t>Стабілізація вестибулярного контуру</t>
  </si>
  <si>
    <t>Вуха (Ear) — передня: 2-е ребро; задня: соскоподібний відросток</t>
  </si>
  <si>
    <t>Пальпаторна оцінка точки «Вуха» дає лікарю попередній орієнтир на вестибуло-слуховий статус як можливий коморбідний фон при «Запаморочення». Позитивна ознака (болючість при пальпації) — привід уточнити діагноз додатково: отоскопія, аудіометрія/вестибулярні проби за показами. Пальпаторний тест не замінює лабораторно-інструментальну діагностику.</t>
  </si>
  <si>
    <t>56. Запаморочення — судинні збої | вестибулярна дизрегуляція</t>
  </si>
  <si>
    <t>Шия</t>
  </si>
  <si>
    <t>Стабілізація вестибулярного контуру при судинних збої</t>
  </si>
  <si>
    <t>Осьова: GV20 (піднімає Ян, заспокоює Шень, прояснює свідомість); Локальна: GB14 (фронтальний головний біль/очі); Вегетативна: SP6 (SP/LR/KI, тазова/вегетативна регуляція); Фасціальна: BL60 (Jing‑River UB — «аспірин меридіанів», біль уздовж спини/шиї); Підтримуюча: LI4 (звільняє поверхню, універсальний анальгетик); Рефлекторно‑кінцева: TE5 (звільняє Shaoyang, головний біль/верхня кінцівка)</t>
  </si>
  <si>
    <t>1) Верхньошийна сегментарна аферентація до трійчасто-цервікального ядра · 2) Жувальний і скроневий м’язи (Travell): відображений біль у голову · 3) За ТКМ Нирки відкриваються у вуха · 4) He-Sea LI — базова протизапально-мікроциркуляторна точка · 5) Bai-hui та Yin-tang: базова антистрес-вегетативна пара · 6) Дистальна пара верхньої частини тіла; Су-Джок — відповідна зона на КИСТІ</t>
  </si>
  <si>
    <t>Шум у вухах</t>
  </si>
  <si>
    <t>сенсорний</t>
  </si>
  <si>
    <t>KI – GB</t>
  </si>
  <si>
    <t>Внутрішнє вухо</t>
  </si>
  <si>
    <t>нейросенсорний</t>
  </si>
  <si>
    <t>KI3, GB2, SI19</t>
  </si>
  <si>
    <t>Вухо; Кисть: великий; Стопа: п’ята; Вухо: слух</t>
  </si>
  <si>
    <t>Shi-Cranio-Aural</t>
  </si>
  <si>
    <t>Скронево-вушна ≈20</t>
  </si>
  <si>
    <t>Вісь нирки-слух</t>
  </si>
  <si>
    <t>Пальпаторна оцінка точки «Вуха» дає лікарю попередній орієнтир на вестибуло-слуховий статус як можливий коморбідний фон при «Шум у вухах». Позитивна ознака (болючість при пальпації) — привід уточнити діагноз додатково: отоскопія, аудіометрія/вестибулярні проби за показами. Пальпаторний тест не замінює лабораторно-інструментальну діагностику.</t>
  </si>
  <si>
    <t>57. Шум у вухах — судинні | сенсорна гіперактивність</t>
  </si>
  <si>
    <t>Підтримка осі нирки-слух, нейросенсорна стабілізація</t>
  </si>
  <si>
    <t>SI19</t>
  </si>
  <si>
    <t>GV3</t>
  </si>
  <si>
    <t>Осьова: CV6 (зміцнює Ці, тонус і перистальтика); Локальна: SI19 (вухо — отит/слух); Вегетативна: SP6 (SP/LR/KI, тазова/вегетативна регуляція); Фасціальна: BL62 (відкриває Ян‑цяо‑май, стабілізує гомілково‑ступневий вузол); Підтримуюча: GV3 (розсіює застій у попереку, знеболює); Рефлекторно‑кінцева: LI11 (He‑Sea LI — «очищує жар»)</t>
  </si>
  <si>
    <t>Зниження слуху</t>
  </si>
  <si>
    <t>KI – SI</t>
  </si>
  <si>
    <t>Сенсорна вісь</t>
  </si>
  <si>
    <t>KI3, SI19, GB2</t>
  </si>
  <si>
    <t>Вухо; Кисть; Стопа; Вухо: слух</t>
  </si>
  <si>
    <t>Вушна зона ≈20</t>
  </si>
  <si>
    <t>Підтримка рецепторів</t>
  </si>
  <si>
    <t>Пальпаторна оцінка точки «Вуха» дає лікарю попередній орієнтир на вестибуло-слуховий статус як можливий коморбідний фон при «Зниження слуху». Позитивна ознака (болючість при пальпації) — привід уточнити діагноз додатково: отоскопія, аудіометрія/вестибулярні проби за показами. Пальпаторний тест не замінює лабораторно-інструментальну діагностику.</t>
  </si>
  <si>
    <t>58. Зниження слуху — вікове | нейросенсорна дегенерація</t>
  </si>
  <si>
    <t>Гомілка</t>
  </si>
  <si>
    <t>Підтримка рецепторів при нейросенсорній дегенерації</t>
  </si>
  <si>
    <t>Осьова: CV6 (зміцнює Ці, тонус і перистальтика); Локальна: SI19 (вухо — отит/слух); Вегетативна: SP6 (SP/LR/KI, тазова/вегетативна регуляція); Фасціальна: BL60 (Jing‑River UB — «аспірин меридіанів», біль уздовж спини/шиї); Підтримуюча: LI4 (звільняє поверхню, універсальний анальгетик); Рефлекторно‑кінцева: BL60 (Jing‑River UB — «аспірин меридіанів», біль уздовж спини/шиї)</t>
  </si>
  <si>
    <t>Сухість очей</t>
  </si>
  <si>
    <t>трофічний</t>
  </si>
  <si>
    <t>LV – BL</t>
  </si>
  <si>
    <t>Очний сегмент</t>
  </si>
  <si>
    <t>вегетативно-судинний</t>
  </si>
  <si>
    <t>BL1, LV3, ST36</t>
  </si>
  <si>
    <t>Очі; Кисть: великий; Стопа; Вухо: очі</t>
  </si>
  <si>
    <t>Shi-Cranio-Ocular</t>
  </si>
  <si>
    <t>Орбітально-лобна ≈20</t>
  </si>
  <si>
    <t>Очна декомпресія</t>
  </si>
  <si>
    <t>Пальпаторна оцінка точки «Очі» дає лікарю попередній орієнтир на судинно-трофічний статус ока як можливий коморбідний фон при «Сухість очей». Позитивна ознака (болючість/гіперестезія) — привід уточнити діагноз додатково: огляд офтальмолога, внутрішньоочний тиск за показами. Пальпаторний тест не замінює лабораторно-інструментальну діагностику.</t>
  </si>
  <si>
    <t>59. Сухість очей — екранні навантаження | трофічний дефіцит</t>
  </si>
  <si>
    <t>Діафрагма</t>
  </si>
  <si>
    <t>Очна декомпресія при трофічному дефіциті</t>
  </si>
  <si>
    <t>Осьова: CV6 (зміцнює Ці, тонус і перистальтика); Локальна: GB14 (фронтальний головний біль/очі); Вегетативна: SP6 (SP/LR/KI, тазова/вегетативна регуляція); Фасціальна: ST36 (тонізує Ці/Кров, імуномодуляція); Підтримуюча: LI4 (звільняє поверхню, універсальний анальгетик); Рефлекторно‑кінцева: BL60 (Jing‑River UB — «аспірин меридіанів», біль уздовж спини/шиї)</t>
  </si>
  <si>
    <t>1) Верхньошийна сегментарна аферентація до трійчасто-цервікального ядра · 2) Жувальний і скроневий м’язи (Travell): відображений біль у голову · 3) За ТКМ Печінка відкривається в очі · 4) Xue-hai — «море крові», рух застою крові й трофіка · 5) Bai-hui та Yin-tang: базова антистрес-вегетативна пара · 6) Дистальна пара верхньої частини тіла; Су-Джок — відповідна зона на КИСТІ</t>
  </si>
  <si>
    <t>Глаукома (функц.)</t>
  </si>
  <si>
    <t>судинний</t>
  </si>
  <si>
    <t>LV – GB</t>
  </si>
  <si>
    <t>Краніо-судинна</t>
  </si>
  <si>
    <t>внутрішньоочний</t>
  </si>
  <si>
    <t>GB20, LV3, BL1</t>
  </si>
  <si>
    <t>Очі; Кисть; Стопа; Вухо: очі</t>
  </si>
  <si>
    <t>Відтік</t>
  </si>
  <si>
    <t>Потилично-очна ≈30</t>
  </si>
  <si>
    <t>Регуляція внутрішньоочного тиску</t>
  </si>
  <si>
    <t>Пальпаторна оцінка точки «Очі» дає лікарю попередній орієнтир на судинно-трофічний статус ока як можливий коморбідний фон при «Глаукома (функц.)». Позитивна ознака (болючість/гіперестезія) — привід уточнити діагноз додатково: огляд офтальмолога, внутрішньоочний тиск за показами. Пальпаторний тест не замінює лабораторно-інструментальну діагностику.</t>
  </si>
  <si>
    <t>60. Глаукома (функц.) — судинні | порушення відтоку</t>
  </si>
  <si>
    <t>Регуляція внутрішньоочного тиску при судинних порушеннях</t>
  </si>
  <si>
    <t>Осьова: CV6 (зміцнює Ці, тонус і перистальтика); Локальна: Ashi (локальний вплив); Вегетативна: SP6 (SP/LR/KI, тазова/вегетативна регуляція); Фасціальна: ST36 (тонізує Ці/Кров, імуномодуляція); Підтримуюча: KI1 («заземлює», опускає надлишковий Ян); Рефлекторно‑кінцева: BL60 (Jing‑River UB — «аспірин меридіанів», біль уздовж спини/шиї)</t>
  </si>
  <si>
    <t>1) Верхньошийна сегментарна аферентація до трійчасто-цервікального ядра · 2) Жувальний і скроневий м’язи (Travell): відображений біль у голову · 3) За ТКМ Печінка відкривається в очі · 4) He-Sea LI — базова протизапально-мікроциркуляторна точка · 5) Bai-hui та Yin-tang: базова антистрес-вегетативна пара · 6) Дистальна пара верхньої частини тіла; Су-Джок — відповідна зона на КИСТІ</t>
  </si>
  <si>
    <t>Риносинусит</t>
  </si>
  <si>
    <t>ЛОР</t>
  </si>
  <si>
    <t>запальний</t>
  </si>
  <si>
    <t>LI20, ST36, LI4</t>
  </si>
  <si>
    <t>Ніс; Кисть: вказівний; Стопа; Вухо: ніс</t>
  </si>
  <si>
    <t>Shi-Cranio-Facial</t>
  </si>
  <si>
    <t>Носо-лобна ≈25</t>
  </si>
  <si>
    <t>Дренаж + ЕМХ локально</t>
  </si>
  <si>
    <t>Навколоносові пазухи (Sinuses) — передня: ключиця; задня: потилична ділянка</t>
  </si>
  <si>
    <t>Пальпаторна оцінка точки «Навколоносові пазухи» дає лікарю попередній орієнтир на дренажну функцію верхніх дихальних шляхів як можливий коморбідний фон при «Риносинусит». Позитивна ознака (локальна болючість) — привід уточнити діагноз додатково: риноскопія, за показами КТ пазух. Пальпаторний тест не замінює лабораторно-інструментальну діагностику.</t>
  </si>
  <si>
    <t>61. Риносинусит — інфекції | дренажна блокада</t>
  </si>
  <si>
    <t>Грудино-ключично</t>
  </si>
  <si>
    <t>Грудино‑ключична зона</t>
  </si>
  <si>
    <t>ST12, надключичні ямки</t>
  </si>
  <si>
    <t>Прогрівання покращує лімфодренаж шийно‑лицевої зони й зменшує застій у носових синусах</t>
  </si>
  <si>
    <t>LI20</t>
  </si>
  <si>
    <t>Осьова: CV6 (зміцнює Ці, тонус і перистальтика); Локальна: LI20 (локальний вплив); Вегетативна: SP6 (SP/LR/KI, тазова/вегетативна регуляція); Фасціальна: ST40 (перетворює слиз/флегму); Підтримуюча: LI4 (звільняє поверхню, універсальний анальгетик); Рефлекторно‑кінцева: BL60 (Jing‑River UB — «аспірин меридіанів», біль уздовж спини/шиї)</t>
  </si>
  <si>
    <t>1) Верхньошийна сегментарна аферентація до трійчасто-цервікального ядра · 2) Жувальний і скроневий м’язи (Travell): відображений біль у голову · 3) Back-Shu Легень — параназальні пазухи · 4) Hui-точка крові — гемодинамічна ланка · 5) Bai-hui та Yin-tang: базова антистрес-вегетативна пара · 6) Дистальна пара верхньої частини тіла; Су-Джок — відповідна зона на КИСТІ</t>
  </si>
  <si>
    <t>Хронічний тонзиліт</t>
  </si>
  <si>
    <t>імунний</t>
  </si>
  <si>
    <t>Імунорегуляція</t>
  </si>
  <si>
    <t>Тонзиліт (хрон.)</t>
  </si>
  <si>
    <t>лімфатичний</t>
  </si>
  <si>
    <t>LU9, LI11, ST36</t>
  </si>
  <si>
    <t>Горло; Кисть; Стопа; Вухо: горло</t>
  </si>
  <si>
    <t>Імунна</t>
  </si>
  <si>
    <t>Shi-Cervical</t>
  </si>
  <si>
    <t>Підщелепна + шийна ≈40</t>
  </si>
  <si>
    <t>Активація місцевого імунітету</t>
  </si>
  <si>
    <t>Мигдалики/глотка (Tonsils/Pharynx) — передня: верхній край 1-го ребра/ключиці; задня: C1–C2</t>
  </si>
  <si>
    <t>Пальпаторна оцінка точки «Мигдалики/глотка» дає лікарю попередній орієнтир на стан лімфоглоткового кільця й локального імунітету як можливий коморбідний фон при «Хронічний тонзиліт». Позитивна ознака (болючість/ущільнення) — привід уточнити діагноз додатково: фарингоскопія, за показами мазок на флору. Пальпаторний тест не замінює лабораторно-інструментальну діагностику.</t>
  </si>
  <si>
    <t>62. Тонзиліт — інфекції | хронічне запалення</t>
  </si>
  <si>
    <t>Шия (передньобокові ланцюги)</t>
  </si>
  <si>
    <t>ST9, LI18, CV22</t>
  </si>
  <si>
    <t>Усунення лімфостазу та хронічної холодної конгестії підщелепного кільця</t>
  </si>
  <si>
    <t>Осьова: CV6 (зміцнює Ці, тонус і перистальтика); Локальна: Ashi (локальний вплив); Вегетативна: SP6 (SP/LR/KI, тазова/вегетативна регуляція); Фасціальна: SP10 (рухає/очищує Кров); Підтримуюча: EX-HN3 (підтримка/анальгезія); Рефлекторно‑кінцева: BL60 (Jing‑River UB — «аспірин меридіанів», біль уздовж спини/шиї)</t>
  </si>
  <si>
    <t>1) Нижньогрудні сегменти — вегетативна інтеграція · 2) Трапеція й Gao-huang: генералізований міофасціальний патерн при хронізації · 3) Back-Shu Легень — верхні дихальні шляхи · 4) He-Sea LI — очищення жару, протизапальна ланка · 5) Bai-hui та Yin-tang: базова антистрес-вегетативна пара · 6) «Чотири брами» (Si Guan) — системна регуляція; Су-Джок — кисть і стопа</t>
  </si>
  <si>
    <t>Фарингіт</t>
  </si>
  <si>
    <t>Місцева дія</t>
  </si>
  <si>
    <t>слизовий</t>
  </si>
  <si>
    <t>LI4, LU7, ST36</t>
  </si>
  <si>
    <t>Протизапал</t>
  </si>
  <si>
    <t>Передньошийна ≈30</t>
  </si>
  <si>
    <t>Локальна трофіка</t>
  </si>
  <si>
    <t>Пальпаторна оцінка точки «Мигдалики/глотка» дає лікарю попередній орієнтир на стан лімфоглоткового кільця й локального імунітету як можливий коморбідний фон при «Фарингіт». Позитивна ознака (болючість/ущільнення) — привід уточнити діагноз додатково: фарингоскопія, за показами мазок на флору. Пальпаторний тест не замінює лабораторно-інструментальну діагностику.</t>
  </si>
  <si>
    <t>63. Фарингіт — переохолодження | місцева іритація</t>
  </si>
  <si>
    <t>Шийний передній сегмент</t>
  </si>
  <si>
    <t>CV22, LU10</t>
  </si>
  <si>
    <t>Прогрівання активує слизову, покращує мікроциркуляцію горла та зменшує холод‑застій</t>
  </si>
  <si>
    <t>Осьова: CV6 (зміцнює Ці, тонус і перистальтика); Локальна: LI20 (локальний вплив); Вегетативна: SP6 (SP/LR/KI, тазова/вегетативна регуляція); Фасціальна: BL57 (литкові судоми, геморой (класично)); Підтримуюча: LI4 (звільняє поверхню, універсальний анальгетик); Рефлекторно‑кінцева: SP4 (активує Chong‑mai (з PC6), ШКТ)</t>
  </si>
  <si>
    <t>1) Сегментарна регуляція шийних корінців · 2) Верхня трапеція й підпотиличні (Travell): класичний цервікогенний патерн · 3) Back-Shu Легень — верхні дихальні шляхи · 4) He-Sea LI — базова протизапально-мікроциркуляторна точка · 5) Bai-hui та Yin-tang: базова антистрес-вегетативна пара · 6) Дистальна пара верхньої частини тіла; Су-Джок — відповідна зона на КИСТІ</t>
  </si>
  <si>
    <t>Хронічний ларингіт</t>
  </si>
  <si>
    <t>функц.</t>
  </si>
  <si>
    <t>Голос</t>
  </si>
  <si>
    <t>Ларингіт</t>
  </si>
  <si>
    <t>голосовий</t>
  </si>
  <si>
    <t>LU7, KI6, HT5</t>
  </si>
  <si>
    <t>Шия; Кисть; Стопа; Вухо: голос</t>
  </si>
  <si>
    <t>Гортанна ≈25</t>
  </si>
  <si>
    <t>Голосова стабілізація</t>
  </si>
  <si>
    <t>Пальпаторна оцінка точки «Мигдалики/глотка» дає лікарю попередній орієнтир на стан лімфоглоткового кільця й локального імунітету як можливий коморбідний фон при «Хронічний ларингіт». Позитивна ознака (болючість/ущільнення) — привід уточнити діагноз додатково: фарингоскопія, за показами мазок на флору. Пальпаторний тест не замінює лабораторно-інструментальну діагностику.</t>
  </si>
  <si>
    <t>64. Ларингіт — перевантаження голосу | слизова гіперреакція</t>
  </si>
  <si>
    <t>Передня шия</t>
  </si>
  <si>
    <t>CV22, KI6 (непряма), надгортанна зона</t>
  </si>
  <si>
    <t>Стимуляція голосових складок, зменшення набряку, покращення судинного тонусу</t>
  </si>
  <si>
    <t>KI3</t>
  </si>
  <si>
    <t>Осьова: CV6 (зміцнює Ці, тонус і перистальтика); Локальна: LI20 (локальний вплив); Вегетативна: SP6 (SP/LR/KI, тазова/вегетативна регуляція); Фасціальна: GB34 (Hui сухожиль); Підтримуюча: LI4 (звільняє поверхню, універсальний анальгетик); Рефлекторно‑кінцева: KI3 (Інь/Ян Нирок, поперек/щиколотка)</t>
  </si>
  <si>
    <t>1) Нижньогрудні сегменти — вегетативна інтеграція · 2) Трапеція й Gao-huang: генералізований міофасціальний патерн при хронізації · 3) Back-Shu Легень — верхні дихальні шляхи · 4) He-Sea LI — базова протизапально-мікроциркуляторна точка · 5) Bai-hui та Yin-tang: базова антистрес-вегетативна пара · 6) «Чотири брами» (Si Guan) — системна регуляція; Су-Джок — кисть і стопа</t>
  </si>
  <si>
    <t>Дисфункція ШКТ</t>
  </si>
  <si>
    <t>Вегетативна вісь</t>
  </si>
  <si>
    <t>Диспепсія</t>
  </si>
  <si>
    <t>вісцеральна</t>
  </si>
  <si>
    <t>ST36, CV12, PC6</t>
  </si>
  <si>
    <t>Рот; Кисть: великий; Стопа; Вухо: шлунок</t>
  </si>
  <si>
    <t>Шлунок (Stomach) — передня: 5-е міжребер'я зліва; задня: Th5 паравертебрально зліва + Тонкий кишківник (Small intestine) — передня: кілька точок навколопупкової ділянки по колу; задня: Th8–Th10 паравертебрально</t>
  </si>
  <si>
    <t>Послідовна пальпація точок «Шлунок» та «Тонкий кишківник» орієнтує лікаря щодо можливого поєднаного коморбідного залучення осей — секреторно-моторну функцію шлунка та всмоктувальну функцію тонкого кишківника — на фоні «Дисфункція ШКТ». Позитивна реакція хоча б в одній точці — підстава для цілеспрямованого уточнення: дослідження на H. pylori, за показами ФГДС; копрограма, за показами обстеження на мальабсорбцію. Результат пальпації є попереднім орієнтиром і потребує клініко-лабораторного підтвердження.</t>
  </si>
  <si>
    <t>65. Дисфункція ШКТ — стрес | вегетативний дисбаланс</t>
  </si>
  <si>
    <t>Живіт (епігастрій)</t>
  </si>
  <si>
    <t>CV12, ST21</t>
  </si>
  <si>
    <t>Прогрівання зменшує спазм та застій Qi шлунка, нормалізує вегетативний тонус</t>
  </si>
  <si>
    <t>Осьова: CV6 (зміцнює Ці, тонус і перистальтика); Локальна: Ashi (локальний вплив); Вегетативна: LR3 (розсіює застій Ці Печінки, заспокоює); Фасціальна: BL60 (Jing‑River UB — «аспірин меридіанів», біль уздовж спини/шиї); Підтримуюча: EX-HN3 (підтримка/анальгезія); Рефлекторно‑кінцева: SP4 (активує Chong‑mai (з PC6), ШКТ)</t>
  </si>
  <si>
    <t>1) Нижньогрудні сегменти — вегетативна інтеграція · 2) Трапеція й Gao-huang: генералізований міофасціальний патерн при хронізації · 3) Back-Shu Шлунка · 4) He-Sea LI — базова протизапально-мікроциркуляторна точка · 5) Bai-hui та Yin-tang: базова антистрес-вегетативна пара · 6) «Чотири брами» (Si Guan) — системна регуляція; Су-Джок — кисть і стопа</t>
  </si>
  <si>
    <t>Запори</t>
  </si>
  <si>
    <t>кишковий</t>
  </si>
  <si>
    <t>Перистальтика</t>
  </si>
  <si>
    <t>гіпомоторний</t>
  </si>
  <si>
    <t>LI11, ST25, ST36</t>
  </si>
  <si>
    <t>Живіт; Кисть; Стопа; Вухо: кишечник</t>
  </si>
  <si>
    <t>Товстий кишківник (Large intestine) — передня: проекційні точки по квадрантах живота (за ходом ободової кишки); задня: Th10–L2 паравертебрально сегментарно</t>
  </si>
  <si>
    <t>Пальпаторна оцінка точки «Товстий кишківник» дає лікарю попередній орієнтир на моторну функцію товстого кишківника як можливий коморбідний фон при «Запори». Позитивна ознака (локальна болючість/спазм по ходу кишки) — привід уточнити діагноз додатково: копрограма, за показами колоноскопія. Пальпаторний тест не замінює лабораторно-інструментальну діагностику.</t>
  </si>
  <si>
    <t>66. Запори — гіподинамія | гіпомоторика</t>
  </si>
  <si>
    <t>Живіт (околопупкова зона)</t>
  </si>
  <si>
    <t>ST25, CV6</t>
  </si>
  <si>
    <t>Активація моторики, прогрівання знімає спастику та стимулює перистальтику</t>
  </si>
  <si>
    <t>ST25</t>
  </si>
  <si>
    <t>Осьова: CV12 (гармонізує Шлунок, знімає спазм); Локальна: ST25 (Front‑Mu Товстої кишки); Вегетативна: LR3 (розсіює застій Ці Печінки, заспокоює); Фасціальна: BL62 (відкриває Ян‑цяо‑май, стабілізує гомілково‑ступневий вузол); Підтримуюча: KI1 («заземлює», опускає надлишковий Ян); Рефлекторно‑кінцева: LI11 (He‑Sea LI — «очищує жар»)</t>
  </si>
  <si>
    <t>1) Back-Shu ураженого органа (back-shu товстої кишки) · 2) Сегментарні паравертебральні тригери вісцеро-соматичного рефлексу · 3) Back-Shu Товстої кишки · 4) He-Sea LI — базова протизапально-мікроциркуляторна точка · 5) Bai-hui та Yin-tang: базова антистрес-вегетативна пара · 6) «Чотири брами» (Si Guan) — системна регуляція; Су-Джок — кисть і стопа</t>
  </si>
  <si>
    <t>Діарея (функц.)</t>
  </si>
  <si>
    <t>Діарея</t>
  </si>
  <si>
    <t>гіпермоторний</t>
  </si>
  <si>
    <t>ST36, SP6, CV12</t>
  </si>
  <si>
    <t>Пальпаторна оцінка точки «Товстий кишківник» дає лікарю попередній орієнтир на моторну функцію товстого кишківника як можливий коморбідний фон при «Діарея (функц.)». Позитивна ознака (локальна болючість/спазм по ходу кишки) — привід уточнити діагноз додатково: копрограма, за показами колоноскопія. Пальпаторний тест не замінює лабораторно-інструментальну діагностику.</t>
  </si>
  <si>
    <t>67. Діарея — стрес | гіпермоторика</t>
  </si>
  <si>
    <t>CV12, ST36</t>
  </si>
  <si>
    <t>М’яке прогрівання гармонізує SP–ST і зменшує гіпермоторику при “холоді”</t>
  </si>
  <si>
    <t>Осьова: CV12 (гармонізує Шлунок, знімає спазм); Локальна: ST25 (Front‑Mu Товстої кишки); Вегетативна: LR3 (розсіює застій Ці Печінки, заспокоює); Фасціальна: LV13 (вплив на SP/LR, фасція передньобокова); Підтримуюча: EX-HN3 (підтримка/анальгезія); Рефлекторно‑кінцева: LI11 (He‑Sea LI — «очищує жар»)</t>
  </si>
  <si>
    <t>Дискінезія ЖВШ</t>
  </si>
  <si>
    <t>Жовч</t>
  </si>
  <si>
    <t>ДЖВШ</t>
  </si>
  <si>
    <t>жовчний</t>
  </si>
  <si>
    <t>GB34, LV3, ST36</t>
  </si>
  <si>
    <t>Праве підребер’я; Кисть; Стопа; Вухо: жовч</t>
  </si>
  <si>
    <t>Shi-Hara(GB)</t>
  </si>
  <si>
    <t>Hara-Flank ≈40</t>
  </si>
  <si>
    <t>Регуляція</t>
  </si>
  <si>
    <t>Жовчний міхур (Gallbladder) — передня: 6-е міжребер'я справа; задня: Th6 паравертебрально справа</t>
  </si>
  <si>
    <t>Пальпаторна оцінка точки «Жовчний міхур» дає лікарю попередній орієнтир на жовчовидільну функцію як можливий коморбідний фон при «Дискінезія ЖВШ». Позитивна ознака (локальна болючість) — привід уточнити діагноз додатково: УЗД жовчного міхура, білірубін, ЛФ. Пальпаторний тест не замінює лабораторно-інструментальну діагностику.</t>
  </si>
  <si>
    <t>68. ДЖВШ — стрес | жовчний спазм</t>
  </si>
  <si>
    <t>CV17, реберна дуга</t>
  </si>
  <si>
    <t>Тепло знімає спазм жовчного міхура та нормалізує відтік жовчі</t>
  </si>
  <si>
    <t>Осьова: CV6 (зміцнює Ці, тонус і перистальтика); Локальна: Ashi (локальний вплив); Вегетативна: SP6 (SP/LR/KI, тазова/вегетативна регуляція); Фасціальна: GB34 (Hui сухожиль); Підтримуюча: GV24 (заспокоює Шень, фронтальний біль); Рефлекторно‑кінцева: LI11 (He‑Sea LI — «очищує жар»)</t>
  </si>
  <si>
    <t>BL19</t>
  </si>
  <si>
    <t>1) Back-Shu ураженого органа (back-shu жовчного міхура) · 2) Сегментарні паравертебральні тригери вісцеро-соматичного рефлексу · 3) Back-Shu Жовчного міхура · 4) He-Sea LI — базова протизапально-мікроциркуляторна точка · 5) Bai-hui та Yin-tang: базова антистрес-вегетативна пара · 6) «Чотири брами» (Si Guan) — системна регуляція; Су-Джок — кисть і стопа</t>
  </si>
  <si>
    <t>Жирова хвороба печінки</t>
  </si>
  <si>
    <t>LV – SP</t>
  </si>
  <si>
    <t>Жирова печінка</t>
  </si>
  <si>
    <t>LV3, SP6, ST36</t>
  </si>
  <si>
    <t>Печінка; Кисть; Стопа; Вухо: печінка</t>
  </si>
  <si>
    <t>Детокс</t>
  </si>
  <si>
    <t>Пальпаторна оцінка точки «Печінка» дає лікарю попередній орієнтир на детоксикаційно-метаболічну функцію печінки як можливий коморбідний фон при «Жирова хвороба печінки». Позитивна ознака (ущільнення/болючість) — привід уточнити діагноз додатково: АЛТ, АСТ, ГГТ, УЗД печінки. Пальпаторний тест не замінює лабораторно-інструментальну діагностику.</t>
  </si>
  <si>
    <t>69. Жирова печінка — метаболічні | інсулінорезистентність</t>
  </si>
  <si>
    <t>Пахвинна</t>
  </si>
  <si>
    <t>Живіт (праве підребер’я)</t>
  </si>
  <si>
    <t>LV14, BL18</t>
  </si>
  <si>
    <t>Прогрівання покращує трофіку печінки та метаболічну активність</t>
  </si>
  <si>
    <t>Осьова: CV12 (гармонізує Шлунок, знімає спазм); Локальна: Ashi (локальний вплив); Вегетативна: LR3 (розсіює застій Ці Печінки, заспокоює); Фасціальна: LV13 (вплив на SP/LR, фасція передньобокова); Підтримуюча: GV24 (заспокоює Шень, фронтальний біль); Рефлекторно‑кінцева: SP4 (активує Chong‑mai (з PC6), ШКТ)</t>
  </si>
  <si>
    <t>1) Back-Shu ураженого органа (back-shu печінки) · 2) Сегментарні паравертебральні тригери вісцеро-соматичного рефлексу · 3) Back-Shu Печінки · 4) He-Sea LI — базова протизапально-мікроциркуляторна точка · 5) Bai-hui та Yin-tang: базова антистрес-вегетативна пара · 6) «Чотири брами» (Si Guan) — системна регуляція; Су-Джок — кисть і стопа</t>
  </si>
  <si>
    <t>Хронічний гепатит (неактивний)</t>
  </si>
  <si>
    <t>Печінка</t>
  </si>
  <si>
    <t>Хронічний гепатит</t>
  </si>
  <si>
    <t>запально-метаболічний</t>
  </si>
  <si>
    <t>BL18, LV3, ST36</t>
  </si>
  <si>
    <t>Shi-Hara(LV)</t>
  </si>
  <si>
    <t>Hara-Right-Hypochondrium ≈55</t>
  </si>
  <si>
    <t>Пальпаторна оцінка точки «Печінка» дає лікарю попередній орієнтир на детоксикаційно-метаболічну функцію печінки як можливий коморбідний фон при «Хронічний гепатит (неактивний)». Позитивна ознака (ущільнення/болючість) — привід уточнити діагноз додатково: АЛТ, АСТ, ГГТ, УЗД печінки. Пальпаторний тест не замінює лабораторно-інструментальну діагностику.</t>
  </si>
  <si>
    <t>70. Хронічний гепатит — токсичні | трофічне виснаження</t>
  </si>
  <si>
    <t>Печінкова ділянка</t>
  </si>
  <si>
    <t>LV14, CV12</t>
  </si>
  <si>
    <t>Мокса зменшує холод‑застій, покращує мікроциркуляцію та регенерацію гепатоцитів</t>
  </si>
  <si>
    <t>LV14</t>
  </si>
  <si>
    <t>Осьова: CV12 (гармонізує Шлунок, знімає спазм); Локальна: LV14 (локальний вплив); Вегетативна: SP6 (SP/LR/KI, тазова/вегетативна регуляція); Фасціальна: BL60 (Jing‑River UB — «аспірин меридіанів», біль уздовж спини/шиї); Підтримуюча: GV24 (заспокоює Шень, фронтальний біль); Рефлекторно‑кінцева: BL60 (Jing‑River UB — «аспірин меридіанів», біль уздовж спини/шиї)</t>
  </si>
  <si>
    <t>1) Back-Shu ураженого органа (back-shu печінки) · 2) Сегментарні паравертебральні тригери вісцеро-соматичного рефлексу · 3) Back-Shu Печінки · 4) Xue-hai — «море крові», рух застою крові й трофіка · 5) Bai-hui та Yin-tang: базова антистрес-вегетативна пара · 6) «Чотири брами» (Si Guan) — системна регуляція; Су-Джок — кисть і стопа</t>
  </si>
  <si>
    <t>Хронічний цистит</t>
  </si>
  <si>
    <t>BL – KI</t>
  </si>
  <si>
    <t>Цистит</t>
  </si>
  <si>
    <t>тазово-вегетативний</t>
  </si>
  <si>
    <t>BL28, KI3, CV4</t>
  </si>
  <si>
    <t>Низ живота; Кисть; Стопа; Вухо: сечовий</t>
  </si>
  <si>
    <t>Shi-Hara(BL)</t>
  </si>
  <si>
    <t>Надлобкова зона: 5×7 ≈35</t>
  </si>
  <si>
    <t>Периферійна стабілізація поля</t>
  </si>
  <si>
    <t>Сечовий міхур (Bladder) — передня: ділянка лобкового симфізу; задня: L1–L2 паравертебрально</t>
  </si>
  <si>
    <t>Пальпаторна оцінка точки «Сечовий міхур» дає лікарю попередній орієнтир на тонус детрузора та тазову іннервацію як можливий коморбідний фон при «Хронічний цистит». Позитивна ознака (болючість над лобком) — привід уточнити діагноз додатково: загальний аналіз сечі, УЗД сечового міхура. Пальпаторний тест не замінює лабораторно-інструментальну діагностику.</t>
  </si>
  <si>
    <t>71. Цистит — інфекції | тазова ішемія</t>
  </si>
  <si>
    <t>CV4, KI3 (непряма)</t>
  </si>
  <si>
    <t>Усунення тазової ішемії та “холоду нижнього обігрівача”</t>
  </si>
  <si>
    <t>CV3</t>
  </si>
  <si>
    <t>Осьова: CV4 (живить Інь, нижній обігрівач, урогенітальна регуляція); Локальна: CV3 (Front‑Mu сечового міхура, урогенітальні); Вегетативна: CV4 (живить Інь, нижній обігрівач, урогенітальна регуляція); Фасціальна: SP10 (рухає/очищує Кров); Підтримуюча: BL58 (Luo UB — знімає тяжкість литки); Рефлекторно‑кінцева: BL32 (дистальна рефлексомодуляція)</t>
  </si>
  <si>
    <t>1) Попереково-крижові сегменти тазового сплетення · 2) Тазове дно й сакро-глютеальна зона · 3) Back-Shu Сечового міхура · 4) Xue-hai — базова мікроциркуляторна точка для кінцівок · 5) Bai-hui та Yin-tang: базова антистрес-вегетативна пара · 6) Дистальна пара нижньої частини тіла; Су-Джок — відповідна зона на СТОПІ</t>
  </si>
  <si>
    <t>Нетримання сечі</t>
  </si>
  <si>
    <t>KI – DU</t>
  </si>
  <si>
    <t>Контроль</t>
  </si>
  <si>
    <t>KI3, DU4, CV4</t>
  </si>
  <si>
    <t>Таз; Кисть; Стопа; Вухо: таз</t>
  </si>
  <si>
    <t>Пальпаторна оцінка точки «Сечовий міхур» дає лікарю попередній орієнтир на тонус детрузора та тазову іннервацію як можливий коморбідний фон при «Нетримання сечі». Позитивна ознака (болючість над лобком) — привід уточнити діагноз додатково: загальний аналіз сечі, УЗД сечового міхура. Пальпаторний тест не замінює лабораторно-інструментальну діагностику.</t>
  </si>
  <si>
    <t>72. Нетримання — нейродисфункція | тазовий контроль</t>
  </si>
  <si>
    <t>Підошва стопи (KI1)</t>
  </si>
  <si>
    <t>KI1, CV4</t>
  </si>
  <si>
    <t>Прогрівання зміцнює ниркову вісь та нейротазовий контроль</t>
  </si>
  <si>
    <t>Осьова: CV4 (живить Інь, нижній обігрівач, урогенітальна регуляція); Локальна: Ashi (локальний вплив); Вегетативна: CV4 (живить Інь, нижній обігрівач, урогенітальна регуляція); Фасціальна: GB34 (Hui сухожиль); Підтримуюча: KI1 («заземлює», опускає надлишковий Ян); Рефлекторно‑кінцева: KI1 («заземлює», опускає надлишковий Ян)</t>
  </si>
  <si>
    <t>Еректильна дисфункція</t>
  </si>
  <si>
    <t>судинно-нейро</t>
  </si>
  <si>
    <t>Репродуктивна вісь</t>
  </si>
  <si>
    <t>KI3, LV3, CV4</t>
  </si>
  <si>
    <t>Пах; Кисть; Стопа; Вухо: геніталії</t>
  </si>
  <si>
    <t>Кровообіг</t>
  </si>
  <si>
    <t>Shi-Hara(KI/LV)</t>
  </si>
  <si>
    <t>Нижній Hara + пахвинна зона ≈80</t>
  </si>
  <si>
    <t>Судинно-нейронна синхронізація</t>
  </si>
  <si>
    <t>Пальпаторна оцінка точки «Простата/сім'яні пухирці» дає лікарю попередній орієнтир на тазовий венозний та нервовий статус як можливий коморбідний фон при «Еректильна дисфункція». Позитивна ознака (болючість при пальпації) — привід уточнити діагноз додатково: ПСА, УЗД передміхурової залози за показами. Пальпаторний тест не замінює лабораторно-інструментальну діагностику.</t>
  </si>
  <si>
    <t>73. Еректильна дисфункція — судинні | ендотеліальна дисфункція</t>
  </si>
  <si>
    <t>Сіднична</t>
  </si>
  <si>
    <t>CV4, LV3</t>
  </si>
  <si>
    <t>Локальне прогрівання покращує мікроциркуляцію та зменшує судинний застій</t>
  </si>
  <si>
    <t>Осьова: CV4 (живить Інь, нижній обігрівач, урогенітальна регуляція); Локальна: Ashi (локальний вплив); Вегетативна: CV4 (живить Інь, нижній обігрівач, урогенітальна регуляція); Фасціальна: SP9 (осушує Вологу, антинабрякова); Підтримуюча: KI1 («заземлює», опускає надлишковий Ян); Рефлекторно‑кінцева: KI1 («заземлює», опускає надлишковий Ян)</t>
  </si>
  <si>
    <t>Клімактеричний синдром</t>
  </si>
  <si>
    <t>гормональний</t>
  </si>
  <si>
    <t>KI – HT</t>
  </si>
  <si>
    <t>Гормональний баланс</t>
  </si>
  <si>
    <t>нейроендокринний</t>
  </si>
  <si>
    <t>KI3, HT7, GV20</t>
  </si>
  <si>
    <t>Лоб; Кисть; Стопа; Вухо: ендокрин</t>
  </si>
  <si>
    <t>Shi-Hara(KI) + Shi-Cranio</t>
  </si>
  <si>
    <t>Нижній Hara + краніальна зона ≈80</t>
  </si>
  <si>
    <t>Вісь нирки–ЦНС</t>
  </si>
  <si>
    <t>Матка/яєчники, широка зв'язка (Uterus/Ovary) — передня: бічно від лобкового симфізу (матка) / гребінь клубової кістки (яєчники); задня: L5 / крижово-клубова ділянка + Щитоподібна/паращитоподібні залози (Thyroid/Parathyroid) — передня: 2-е міжребер'я біля краю грудини; задня: паравертебрально на рівні C2–C3</t>
  </si>
  <si>
    <t>Послідовна пальпація точок «Матка/яєчники, широка зв'язка» та «Щитоподібна/паращитоподібні залози» орієнтує лікаря щодо можливого поєднаного коморбідного залучення осей — гормонально-тазову регуляторну вісь та тиреоїдний метаболічний статус та кальцієвий обмін — на фоні «Клімактеричний синдром». Позитивна реакція хоча б в одній точці — підстава для цілеспрямованого уточнення: гінекологічний огляд, гормональна панель за показами; ТТГ, вільний Т4, за потреби кальцій/ПТГ. Результат пальпації є попереднім орієнтиром і потребує клініко-лабораторного підтвердження.</t>
  </si>
  <si>
    <t>74. Клімакс — гормональні | нейровегетативна перебудова</t>
  </si>
  <si>
    <t>CV17, ST18 (непряма)</t>
  </si>
  <si>
    <t>Стабілізація вегетативних коливань та емоційно‑гормональної осі</t>
  </si>
  <si>
    <t>Осьова: CV6 (зміцнює Ці, тонус і перистальтика); Локальна: Ashi (локальний вплив); Вегетативна: SP6 (SP/LR/KI, тазова/вегетативна регуляція); Фасціальна: SP10 (рухає/очищує Кров); Підтримуюча: KI1 («заземлює», опускає надлишковий Ян); Рефлекторно‑кінцева: BL60 (Jing‑River UB — «аспірин меридіанів», біль уздовж спини/шиї)</t>
  </si>
  <si>
    <t>ПМС</t>
  </si>
  <si>
    <t>нейрогуморальний</t>
  </si>
  <si>
    <t>LV3, SP6, KI3</t>
  </si>
  <si>
    <t>Низ живота; Кисть; Стопа; Вухо: гормони</t>
  </si>
  <si>
    <t>Нижній абдомінальний: 7×9 ≈63</t>
  </si>
  <si>
    <t>Нейрогуморальний баланс</t>
  </si>
  <si>
    <t>Пальпаторна оцінка точки «Матка/яєчники, широка зв'язка» дає лікарю попередній орієнтир на гормонально-тазову регуляторну вісь як можливий коморбідний фон при «ПМС». Позитивна ознака (локальна болючість/ущільнення) — привід уточнити діагноз додатково: гінекологічний огляд, гормональна панель за показами. Пальпаторний тест не замінює лабораторно-інструментальну діагностику.</t>
  </si>
  <si>
    <t>75. ПМС — гормональні | центральна чутливість</t>
  </si>
  <si>
    <t>Живіт (нижній Hara)</t>
  </si>
  <si>
    <t>CV6, SP6</t>
  </si>
  <si>
    <t>Гармонізація SP–LV, зменшення застійно‑спастичного компонента</t>
  </si>
  <si>
    <t>Осьова: CV4 (живить Інь, нижній обігрівач, урогенітальна регуляція); Локальна: Ashi (локальний вплив); Вегетативна: SP6 (SP/LR/KI, тазова/вегетативна регуляція); Фасціальна: BL62 (відкриває Ян‑цяо‑май, стабілізує гомілково‑ступневий вузол); Підтримуюча: EX-HN3 (підтримка/анальгезія); Рефлекторно‑кінцева: BL60 (Jing‑River UB — «аспірин меридіанів», біль уздовж спини/шиї)</t>
  </si>
  <si>
    <t>1) Нижньогрудні сегменти — вегетативна інтеграція · 2) Трапеція й Gao-huang: генералізований міофасціальний патерн при хронізації · 3) Сакральні отвори — тазове вегетативне сплетення · 4) He-Sea LI — базова протизапально-мікроциркуляторна точка · 5) Bai-hui та Yin-tang: базова антистрес-вегетативна пара · 6) «Чотири брами» (Si Guan) — системна регуляція; Су-Джок — кисть і стопа</t>
  </si>
  <si>
    <t>Дисменорея</t>
  </si>
  <si>
    <t>SP – KI</t>
  </si>
  <si>
    <t>спастичний</t>
  </si>
  <si>
    <t>SP6, KI3, CV4</t>
  </si>
  <si>
    <t>Таз; Кисть; Стопа; Вухо: матка</t>
  </si>
  <si>
    <t>Зняття спазму</t>
  </si>
  <si>
    <t>Shi-Hara(SP/KI)</t>
  </si>
  <si>
    <t>Нижній Hara матковий ≈55</t>
  </si>
  <si>
    <t>Зняття спазму → ЕМХ</t>
  </si>
  <si>
    <t>Пальпаторна оцінка точки «Матка/яєчники, широка зв'язка» дає лікарю попередній орієнтир на гормонально-тазову регуляторну вісь як можливий коморбідний фон при «Дисменорея». Позитивна ознака (локальна болючість/ущільнення) — привід уточнити діагноз додатково: гінекологічний огляд, гормональна панель за показами. Пальпаторний тест не замінює лабораторно-інструментальну діагностику.</t>
  </si>
  <si>
    <t>76. Дисменорея — спазм | тазова ішемія</t>
  </si>
  <si>
    <t>CV4, SP6</t>
  </si>
  <si>
    <t>Тепло усуває спазм маткових судин і покращує трофіку</t>
  </si>
  <si>
    <t>Осьова: CV4 (живить Інь, нижній обігрівач, урогенітальна регуляція); Локальна: Ashi (локальний вплив); Вегетативна: SP6 (SP/LR/KI, тазова/вегетативна регуляція); Фасціальна: SP9 (осушує Вологу, антинабрякова); Підтримуюча: LI4 (звільняє поверхню, універсальний анальгетик); Рефлекторно‑кінцева: LI11 (He‑Sea LI — «очищує жар»)</t>
  </si>
  <si>
    <t>Хронічні тазові болі (жін.)</t>
  </si>
  <si>
    <t>центрально-тазовий</t>
  </si>
  <si>
    <t>DU4, KI3, BL23</t>
  </si>
  <si>
    <t>Таз; Кисть; Стопа; Вухо: біль</t>
  </si>
  <si>
    <t>Пальпаторна оцінка точки «Матка/яєчники, широка зв'язка» дає лікарю попередній орієнтир на гормонально-тазову регуляторну вісь як можливий коморбідний фон при «Хронічні тазові болі (жін.)». Позитивна ознака (локальна болючість/ущільнення) — привід уточнити діагноз додатково: гінекологічний огляд, гормональна панель за показами. Пальпаторний тест не замінює лабораторно-інструментальну діагностику.</t>
  </si>
  <si>
    <t>77. Тазовий біль (жін.) — стрес | центральна фіксація</t>
  </si>
  <si>
    <t>Усунення тазового застою, декомпресія та глибинне прогрівання</t>
  </si>
  <si>
    <t>Осьова: GV4 (Mingmen, тонізує Ян Нирок, зігріває поперек); Локальна: CV4 (живить Інь, нижній обігрівач, урогенітальна регуляція); Вегетативна: SP6 (SP/LR/KI, тазова/вегетативна регуляція); Фасціальна: ST36 (тонізує Ці/Кров, імуномодуляція); Підтримуюча: EX-HN3 (підтримка/анальгезія); Рефлекторно‑кінцева: KI1 («заземлює», опускає надлишковий Ян)</t>
  </si>
  <si>
    <t>Безпліддя (функц.)</t>
  </si>
  <si>
    <t>KI – SP</t>
  </si>
  <si>
    <t>репродуктивний</t>
  </si>
  <si>
    <t>KI3, SP6, CV4</t>
  </si>
  <si>
    <t>Таз; Кисть; Стопа; Вухо: репродукція</t>
  </si>
  <si>
    <t>Нижній Hara репродуктивний ≈90</t>
  </si>
  <si>
    <t>Трофіка + закріплення</t>
  </si>
  <si>
    <t>Послідовна пальпація точок «Матка/яєчники, широка зв'язка» та «Щитоподібна/паращитоподібні залози» орієнтує лікаря щодо можливого поєднаного коморбідного залучення осей — гормонально-тазову регуляторну вісь та тиреоїдний метаболічний статус та кальцієвий обмін — на фоні «Безпліддя (функц.)». Позитивна реакція хоча б в одній точці — підстава для цілеспрямованого уточнення: гінекологічний огляд, гормональна панель за показами; ТТГ, вільний Т4, за потреби кальцій/ПТГ. Результат пальпації є попереднім орієнтиром і потребує клініко-лабораторного підтвердження.</t>
  </si>
  <si>
    <t>78. Безпліддя (функц.) — гормональні | осьова дисрегуляція</t>
  </si>
  <si>
    <t>Живіт (нижній Hara репродуктивний)</t>
  </si>
  <si>
    <t>CV4, SP6, KI3</t>
  </si>
  <si>
    <t>Прогрівання активує гіпоталамо‑яєчникову вісь та покращує трофіку</t>
  </si>
  <si>
    <t>Осьова: CV4 (живить Інь, нижній обігрівач, урогенітальна регуляція); Локальна: Ashi (локальний вплив); Вегетативна: SP6 (SP/LR/KI, тазова/вегетативна регуляція); Фасціальна: SP9 (осушує Вологу, антинабрякова); Підтримуюча: GB20 (розсіює «вітер», звільняє голову/очі, шия); Рефлекторно‑кінцева: BL27 (дистальна рефлексомодуляція)</t>
  </si>
  <si>
    <t>Хронічна втома у молодих</t>
  </si>
  <si>
    <t>ST – DU</t>
  </si>
  <si>
    <t>Астенія</t>
  </si>
  <si>
    <t>адаптаційний</t>
  </si>
  <si>
    <t>Лоб; Центр; Арка; Вухо: наднирники</t>
  </si>
  <si>
    <t>Відновлення адаптації</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</si>
  <si>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«Хронічна втома у молодих».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</si>
  <si>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79. Втома у молодих — перевантаження | адаптаційне виснаження</t>
  </si>
  <si>
    <t>KI1, ST36</t>
  </si>
  <si>
    <t>Прогрівання «кореневої» точки активує осьові адаптаційні резерви</t>
  </si>
  <si>
    <t>Осьова: CV6 (зміцнює Ці, тонус і перистальтика); Локальна: Ashi (локальний вплив); Вегетативна: SP6 (SP/LR/KI, тазова/вегетативна регуляція); Фасціальна: GB34 (Hui сухожиль); Підтримуюча: ST36 (тонізує Ці/Кров, імуномодуляція); Рефлекторно‑кінцева: BL60 (Jing‑River UB — «аспірин меридіанів», біль уздовж спини/шиї)</t>
  </si>
  <si>
    <t>Порушення сну у підлітків</t>
  </si>
  <si>
    <t>HT – DU</t>
  </si>
  <si>
    <t>Ритми</t>
  </si>
  <si>
    <t>Порушення сну</t>
  </si>
  <si>
    <t>Лоб; Центр; П’ята; Вухо: сон</t>
  </si>
  <si>
    <t>Послідовна пальпація точок «Наднирники» та «Щитоподібна/паращитоподібні залози» орієнтує лікаря щодо можливого поєднаного коморбідного залучення осей — гіпоталамо-гіпофізарно-надниркова (HPA) вісь, стрес-реактивність і системне запалення та тиреоїдний метаболічний статус та кальцієвий обмін — на фоні «Порушення сну у підлітків». Позитивна реакція хоча б в одній точці — підстава для цілеспрямованого уточнення: кортизол (ранковий/добовий ритм), АКТГ, електроліти; ТТГ, вільний Т4, за потреби кальцій/ПТГ. Результат пальпації є попереднім орієнтиром і потребує клініко-лабораторного підтвердження.</t>
  </si>
  <si>
    <t>80. Порушення сну — екрани | циркадний зсув</t>
  </si>
  <si>
    <t>Підошва</t>
  </si>
  <si>
    <t>Підошва стопи + підпотиличні</t>
  </si>
  <si>
    <t>KI1, BL10</t>
  </si>
  <si>
    <t>Заспокоєння ВНС, відновлення циркадного ритму шляхом прогрівання глибинних регуляторів</t>
  </si>
  <si>
    <t>Осьова: CV6 (зміцнює Ці, тонус і перистальтика); Локальна: Ashi (локальний вплив); Вегетативна: SP6 (SP/LR/KI, тазова/вегетативна регуляція); Фасціальна: ST40 (перетворює слиз/флегму); Підтримуюча: EX-HN3 (підтримка/анальгезія); Рефлекторно‑кінцева: SP4 (активує Chong‑mai (з PC6), ШКТ)</t>
  </si>
  <si>
    <t>Постковідний синдром</t>
  </si>
  <si>
    <t>LU – ST</t>
  </si>
  <si>
    <t>ST36, LU9, KI3</t>
  </si>
  <si>
    <t>Груди; Кисть; Стопа; Вухо: легені</t>
  </si>
  <si>
    <t>Shi-Hara(ST/LU)</t>
  </si>
  <si>
    <t>Абдомінально-грудна ≈90</t>
  </si>
  <si>
    <t>Системне відновлення</t>
  </si>
  <si>
    <t>Наднирники (Adrenal) — передня: білатерально ≈2 см латеральніше пупка, трохи нижче; задня: між поперечними відростками Th11–Th12 + Селезінка (Spleen) — передня: 7-е міжребер'я зліва, латеральніше точки підшлункової; задня: Th7 паравертебрально зліва</t>
  </si>
  <si>
    <t>Послідовна пальпація точок «Наднирники» та «Селезінка» орієнтує лікаря щодо можливого поєднаного коморбідного залучення осей — гіпоталамо-гіпофізарно-надниркова (HPA) вісь, стрес-реактивність і системне запалення та імунно-лімфоретикулярну активність та кровотворення — на фоні «Постковідний синдром». Позитивна реакція хоча б в одній точці — підстава для цілеспрямованого уточнення: кортизол (ранковий/добовий ритм), АКТГ, електроліти; загальний аналіз крові, феритин, імунограма за показами. Результат пальпації є попереднім орієнтиром і потребує клініко-лабораторного підтвердження.</t>
  </si>
  <si>
    <t>81. Постковід — системний | нейроімунний дисбаланс</t>
  </si>
  <si>
    <t>Діафрагмальна зона + загальний лімфодренаж</t>
  </si>
  <si>
    <t>CV17, реберні дуги, надключичний лімфодренаж</t>
  </si>
  <si>
    <t>Після COVID домінує нейроімунний дисбаланс, венозно‑лімфатичний застій, порушення вентиляційно‑перфузійної синергії. Прогрівання діафрагми покращує рухливість купола, зменшує застій у легеневому секторі й активує відтік.</t>
  </si>
  <si>
    <t>Осьова: CV6 (зміцнює Ці, тонус і перистальтика); Локальна: Ashi (локальний вплив); Вегетативна: SP6 (SP/LR/KI, тазова/вегетативна регуляція); Фасціальна: ST36 (тонізує Ці/Кров, імуномодуляція); Підтримуюча: ST36 (тонізує Ці/Кров, імуномодуляція); Рефлекторно‑кінцева: LI11 (He‑Sea LI — «очищує жар»)</t>
  </si>
  <si>
    <t>Хронічна задишка</t>
  </si>
  <si>
    <t>Дихальна вісь</t>
  </si>
  <si>
    <t>Задишка</t>
  </si>
  <si>
    <t>легенево-серцевий</t>
  </si>
  <si>
    <t>LU9, KI3, ST36</t>
  </si>
  <si>
    <t>Верхня грудна ≈50</t>
  </si>
  <si>
    <t>Пальпаторна оцінка точки «Легені, нижня частка» дає лікарю попередній орієнтир на бронхолегеневий статус і вентиляційний резерв як можливий коморбідний фон при «Хронічна задишка». Позитивна ознака (тканинна тугорухливість/болючість) — привід уточнити діагноз додатково: спірометрія, аускультація, SpO2, пульсоксиметрія з навантаженням. Пальпаторний тест не замінює лабораторно-інструментальну діагностику.</t>
  </si>
  <si>
    <t>82. Хронічна задишка — детренування | вентиляційний дефіцит</t>
  </si>
  <si>
    <t>Міжреберні</t>
  </si>
  <si>
    <t>Діафрагма + міжреберні (Th2–Th8)</t>
  </si>
  <si>
    <t>CV17, LU1, Th2–Th8 міжреберні проміжки</t>
  </si>
  <si>
    <t>При вентиляційному дефіциті й детренованості важливо відновити рухливість грудної клітки. Мокса знімає спазм міжреберних м’язів, покращує синхронізацію LU–KI та вентиляцію.</t>
  </si>
  <si>
    <t>Осьова: CV17 (збирає Ці грудей, регулює дихання/ритм); Локальна: Ashi (локальний вплив); Вегетативна: LU7 (звільняє поверхню, відкриває Ren‑mai, кашель/головний біль); Фасціальна: BL57 (литкові судоми, геморой (класично)); Підтримуюча: GB20 (розсіює «вітер», звільняє голову/очі, шия); Рефлекторно‑кінцева: LI11 (He‑Sea LI — «очищує жар»)</t>
  </si>
  <si>
    <t>Зниження толерантності</t>
  </si>
  <si>
    <t>кардіо-респ</t>
  </si>
  <si>
    <t>HT – ST</t>
  </si>
  <si>
    <t>Низька толерантність</t>
  </si>
  <si>
    <t>кардіо-адаптивний</t>
  </si>
  <si>
    <t>HT7, ST36</t>
  </si>
  <si>
    <t>Грудина; Центр; Стопа; Вухо: серце</t>
  </si>
  <si>
    <t>Витривалість</t>
  </si>
  <si>
    <t>Центральний Hara ≈60</t>
  </si>
  <si>
    <t>Кардіоадаптація</t>
  </si>
  <si>
    <t>Серце (Heart) — передня: 2-е міжребер'я зліва біля грудини; задня: Th2 паравертебрально зліва + Легені, нижня частка (Lung, lower lobe) — передня: 4-е міжребер'я; задня: Th4 паравертебрально</t>
  </si>
  <si>
    <t>Послідовна пальпація точок «Серце» та «Легені, нижня частка» орієнтує лікаря щодо можливого поєднаного коморбідного залучення осей — кардіальну вегетативну регуляцію та бронхолегеневий статус і вентиляційний резерв — на фоні «Зниження толерантності». Позитивна реакція хоча б в одній точці — підстава для цілеспрямованого уточнення: ЕКГ, АТ, за показами — ЕхоКГ; спірометрія, аускультація, SpO2, пульсоксиметрія з навантаженням. Результат пальпації є попереднім орієнтиром і потребує клініко-лабораторного підтвердження.</t>
  </si>
  <si>
    <t>83. Зниження толерантності — гіподинамія | серцево-легеневий резерв</t>
  </si>
  <si>
    <t>Підошва стопи (KI1) + діафрагмальна зона</t>
  </si>
  <si>
    <t>KI1, CV17, ST18 (непряма)</t>
  </si>
  <si>
    <t>Втомлюваність формується через слабкість серцево‑легеневого резерву. Прогрівання KI1 активує глибинний енергетичний корінь, а діафрагмальна зона покращує оксигенацію та адаптаційну відповідь.</t>
  </si>
  <si>
    <t>Осьова: CV6 (зміцнює Ці, тонус і перистальтика); Локальна: Ashi (локальний вплив); Вегетативна: SP6 (SP/LR/KI, тазова/вегетативна регуляція); Фасціальна: BL62 (відкриває Ян‑цяо‑май, стабілізує гомілково‑ступневий вузол); Підтримуюча: GV24 (заспокоює Шень, фронтальний біль); Рефлекторно‑кінцева: BL60 (Jing‑River UB — «аспірин меридіанів», біль уздовж спини/шиї)</t>
  </si>
  <si>
    <t>1) Сегменти великогомілкового/малогомілкового нервів · 2) Литковий м’яз: судоми й ахіллодинія · 3) Back-Shu Серця · 4) Xue-hai — базова мікроциркуляторна точка для кінцівок · 5) Bai-hui та Yin-tang: базова антистрес-вегетативна пара · 6) Дистальна пара нижньої частини тіла; Су-Джок — відповідна зона на СТОПІ</t>
  </si>
  <si>
    <t>Ожиріння</t>
  </si>
  <si>
    <t>Живіт; Кисть; Стопа; Вухо: апетит</t>
  </si>
  <si>
    <t>Hara-Abdominal-Ring: ≈100</t>
  </si>
  <si>
    <t>Синхронізація з ЕМХ</t>
  </si>
  <si>
    <t>Щитоподібна/паращитоподібні залози (Thyroid/Parathyroid) — передня: 2-е міжребер'я біля краю грудини; задня: паравертебрально на рівні C2–C3 + Підшлункова залоза (Pancreas) — передня: 7-е міжребер'я зліва; задня: Th7–Th8 паравертебрально зліва</t>
  </si>
  <si>
    <t>Послідовна пальпація точок «Щитоподібна/паращитоподібні залози» та «Підшлункова залоза» орієнтує лікаря щодо можливого поєднаного коморбідного залучення осей — тиреоїдний метаболічний статус та кальцієвий обмін та екзо- та ендокринну функцію підшлункової залози — на фоні «Ожиріння». Позитивна реакція хоча б в одній точці — підстава для цілеспрямованого уточнення: ТТГ, вільний Т4, за потреби кальцій/ПТГ; глюкоза/HbA1c, амілаза/ліпаза. Результат пальпації є попереднім орієнтиром і потребує клініко-лабораторного підтвердження.</t>
  </si>
  <si>
    <t>84. Ожиріння — харчування | інсулінорезистентність</t>
  </si>
  <si>
    <t>Живіт (Hara‑центр) + пахвинні складки</t>
  </si>
  <si>
    <t>CV12, CV9, SP15, пахвинний лімфодренаж</t>
  </si>
  <si>
    <t>Мокса зменшує застій «вологи» та холод у SP–ST, покращує метаболізм, стимулює перистальтику й нормалізує інсулінорезистентність через вплив на Hara.</t>
  </si>
  <si>
    <t>Осьова: CV12 (гармонізує Шлунок, знімає спазм); Локальна: Ashi (локальний вплив); Вегетативна: SP6 (SP/LR/KI, тазова/вегетативна регуляція); Фасціальна: ST36 (тонізує Ці/Кров, імуномодуляція); Підтримуюча: LI4 (звільняє поверхню, універсальний анальгетик); Рефлекторно‑кінцева: SP4 (активує Chong‑mai (з PC6), ШКТ)</t>
  </si>
  <si>
    <t>1) Back-Shu ураженого органа (шийно-грудний перехід; уникнуто cv22 через близькість трахеї) · 2) Сегментарні паравертебральні тригери вісцеро-соматичного рефлексу · 3) Шийно-грудний перехід; уникнуто CV22 через близькість трахеї · 4) He-Sea LI — базова протизапально-мікроциркуляторна точка · 5) Bai-hui та Yin-tang: базова антистрес-вегетативна пара · 6) «Чотири брами» (Si Guan) — системна регуляція; Су-Джок — кисть і стопа</t>
  </si>
  <si>
    <t>Анорексія (функц.)</t>
  </si>
  <si>
    <t>психо-вегетативний</t>
  </si>
  <si>
    <t>Анорексія</t>
  </si>
  <si>
    <t>регуляторний</t>
  </si>
  <si>
    <t>ST36, LV3</t>
  </si>
  <si>
    <t>Рот; Кисть; Стопа; Вухо: апетит</t>
  </si>
  <si>
    <t>Епігастрій ≈45</t>
  </si>
  <si>
    <t>Регуляція апетиту</t>
  </si>
  <si>
    <t>Пальпаторна оцінка точки «Щитоподібна/паращитоподібні залози» дає лікарю попередній орієнтир на тиреоїдний метаболічний статус та кальцієвий обмін як можливий коморбідний фон при «Анорексія (функц.)». Позитивна ознака (гіперестезія або вузликове ущільнення) — привід уточнити діагноз додатково: ТТГ, вільний Т4, за потреби кальцій/ПТГ. Пальпаторний тест не замінює лабораторно-інструментальну діагностику.</t>
  </si>
  <si>
    <t>85. Анорексія — психоемоційні | гіпоталамічні збої</t>
  </si>
  <si>
    <t>Живіт (епігастрій) + долоня (PC8)</t>
  </si>
  <si>
    <t>CV12, ST21, PC8</t>
  </si>
  <si>
    <t>Патогенез включає гіпоталамічні порушення та психоемоційний дисбаланс. Прогрівання епігастрію відновлює шлунковий центр, а PC8 – заспокоює й гармонізує емоційний компонент.</t>
  </si>
  <si>
    <t>KI6</t>
  </si>
  <si>
    <t>Осьова: CV6 (зміцнює Ці, тонус і перистальтика); Локальна: Ashi (локальний вплив); Вегетативна: SP6 (SP/LR/KI, тазова/вегетативна регуляція); Фасціальна: SP10 (рухає/очищує Кров); Підтримуюча: GV24 (заспокоює Шень, фронтальний біль); Рефлекторно‑кінцева: KI6 (живить Інь Нирок, горло/сон)</t>
  </si>
  <si>
    <t>1) Нижньогрудні сегменти — вегетативна інтеграція · 2) Трапеція й Gao-huang: генералізований міофасціальний патерн при хронізації · 3) Шийно-грудний перехід; уникнуто CV22 через близькість трахеї · 4) He-Sea LI — базова протизапально-мікроциркуляторна точка · 5) Bai-hui та Yin-tang: базова антистрес-вегетативна пара · 6) «Чотири брами» (Si Guan) — системна регуляція; Су-Джок — кисть і стопа</t>
  </si>
  <si>
    <t>Булімія</t>
  </si>
  <si>
    <t>ST – PC</t>
  </si>
  <si>
    <t>нейроімпульсний</t>
  </si>
  <si>
    <t>ST36, PC6, HT7</t>
  </si>
  <si>
    <t>Імпульс</t>
  </si>
  <si>
    <t>Центральний Hara ≈50</t>
  </si>
  <si>
    <t>Контроль імпульсів</t>
  </si>
  <si>
    <t>Послідовна пальпація точок «Щитоподібна/паращитоподібні залози» та «Наднирники» орієнтує лікаря щодо можливого поєднаного коморбідного залучення осей — тиреоїдний метаболічний статус та кальцієвий обмін та гіпоталамо-гіпофізарно-надниркова (HPA) вісь, стрес-реактивність і системне запалення — на фоні «Булімія». Позитивна реакція хоча б в одній точці — підстава для цілеспрямованого уточнення: ТТГ, вільний Т4, за потреби кальцій/ПТГ; кортизол (ранковий/добовий ритм), АКТГ, електроліти. Результат пальпації є попереднім орієнтиром і потребує клініко-лабораторного підтвердження.</t>
  </si>
  <si>
    <t>86. Булімія — стрес | імпульсний контроль</t>
  </si>
  <si>
    <t>Діафрагмальна зона + долоня (PC8)</t>
  </si>
  <si>
    <t>CV17, PC8, ST18 (непряма)</t>
  </si>
  <si>
    <t>При емоційно‑імпульсному переїданні важливо стабілізувати вегетативно‑діафрагмальний контур. Прогрівання діафрагми знижує тривожність та імпульсивність, а PC8 пригальмовує надмірні імпульси.</t>
  </si>
  <si>
    <t>Осьова: CV6 (зміцнює Ці, тонус і перистальтика); Локальна: Ashi (локальний вплив); Вегетативна: SP6 (SP/LR/KI, тазова/вегетативна регуляція); Фасціальна: BL57 (литкові судоми, геморой (класично)); Підтримуюча: LI4 (звільняє поверхню, універсальний анальгетик); Рефлекторно‑кінцева: BL60 (Jing‑River UB — «аспірин меридіанів», біль уздовж спини/шиї)</t>
  </si>
  <si>
    <t>Залежності (реаб.)</t>
  </si>
  <si>
    <t>Самоконтроль</t>
  </si>
  <si>
    <t>Аддикції</t>
  </si>
  <si>
    <t>лімбічний</t>
  </si>
  <si>
    <t>GV20, LV3, HT7</t>
  </si>
  <si>
    <t>Лоб; Центр; Арка; Вухо: залежність</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</si>
  <si>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«Залежності (реаб.)».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</si>
  <si>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87. Залежності — нейрохімія | дофамінова дисфункція</t>
  </si>
  <si>
    <t>Діафрагма + долоня (HT8 / PC8)</t>
  </si>
  <si>
    <t>CV17, HT8/PC8</t>
  </si>
  <si>
    <t>Для адиктивних станів характерна дофамінова дисфункція та порушення лімбічного контролю. Мокса на діафрагмі заспокоює симпатикотонію, а прогрівання долоні впливає на лімбічні центри (через HT/PC канал).</t>
  </si>
  <si>
    <t>Осьова: CV6 (зміцнює Ці, тонус і перистальтика); Локальна: Ashi (локальний вплив); Вегетативна: SP6 (SP/LR/KI, тазова/вегетативна регуляція); Фасціальна: SP9 (осушує Вологу, антинабрякова); Підтримуюча: BL58 (Luo UB — знімає тяжкість литки); Рефлекторно‑кінцева: SP4 (активує Chong‑mai (з PC6), ШКТ)</t>
  </si>
  <si>
    <t>Алкогольний синдром (реаб.)</t>
  </si>
  <si>
    <t>нейрометаб</t>
  </si>
  <si>
    <t>Алкогольна залежність</t>
  </si>
  <si>
    <t>детокс</t>
  </si>
  <si>
    <t>GV20, ST36, LV3</t>
  </si>
  <si>
    <t>Печінка; Кисть; Стопа; Вухо: детокс</t>
  </si>
  <si>
    <t>Очищення</t>
  </si>
  <si>
    <t>Детокс-контур</t>
  </si>
  <si>
    <t>Пальпаторна оцінка точки «Печінка» дає лікарю попередній орієнтир на детоксикаційно-метаболічну функцію печінки як можливий коморбідний фон при «Алкогольний синдром (реаб.)». Позитивна ознака (ущільнення/болючість) — привід уточнити діагноз додатково: АЛТ, АСТ, ГГТ, УЗД печінки. Пальпаторний тест не замінює лабораторно-інструментальну діагностику.</t>
  </si>
  <si>
    <t>88. Алкогольний синдром — токсичний | нейродегенерація</t>
  </si>
  <si>
    <t>Живіт (Hara) + загальний лімфодренаж</t>
  </si>
  <si>
    <t>CV12, CV9, праве підребер’я, надключичний дренаж</t>
  </si>
  <si>
    <t>Прогрівання Hara активує детокс‑вісь ST–LV, а лімфодренаж зменшує системну інтоксикацію. Тепло відновлює ферментативну здатність печінки та нейрометаболічну рівновагу.</t>
  </si>
  <si>
    <t>1) Нижньогрудні сегменти — вегетативна інтеграція · 2) Трапеція й Gao-huang: генералізований міофасціальний патерн при хронізації · 3) Back-Shu Печінки · 4) He-Sea LI — базова протизапально-мікроциркуляторна точка · 5) Bai-hui та Yin-tang: базова антистрес-вегетативна пара · 6) «Чотири брами» (Si Guan) — системна регуляція; Су-Джок — кисть і стопа</t>
  </si>
  <si>
    <t>Хронічний стрес</t>
  </si>
  <si>
    <t>нейроадаптивний</t>
  </si>
  <si>
    <t>гіпоталамічний</t>
  </si>
  <si>
    <t>GV20, HT7, LV3</t>
  </si>
  <si>
    <t>Лоб; Центр; Арка; Вухо: антистрес</t>
  </si>
  <si>
    <t>Гальмування</t>
  </si>
  <si>
    <t>Зниження кортизолу + адаптаційна підтримка</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</si>
  <si>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«Хронічний стрес».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</si>
  <si>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89. Хронічний стрес — перевантаження | HPA-вісь</t>
  </si>
  <si>
    <t>Діафрагма + шия (бокові симпатичні ланцюги)</t>
  </si>
  <si>
    <t>CV17, SCM‑зона, GB20</t>
  </si>
  <si>
    <t>Хронічна активація HPA‑вісі викликає симпатичну гіперактивацію. Прогрівання діафрагми заспокоює серцево‑емоційний центр, шия — зменшує адренергічну активність та м’язовий захист.</t>
  </si>
  <si>
    <t>Осьова: CV6 (зміцнює Ці, тонус і перистальтика); Локальна: Ashi (локальний вплив); Вегетативна: HT7 (заспокоює Шень, нормалізує сон); Фасціальна: ST36 (тонізує Ці/Кров, імуномодуляція); Підтримуюча: EX-HN3 (підтримка/анальгезія); Рефлекторно‑кінцева: BL60 (Jing‑River UB — «аспірин меридіанів», біль уздовж спини/шиї)</t>
  </si>
  <si>
    <t>Професійне вигорання</t>
  </si>
  <si>
    <t>Ресурси</t>
  </si>
  <si>
    <t>Вигорання</t>
  </si>
  <si>
    <t>GV20, ST36, KI3</t>
  </si>
  <si>
    <t>Лоб; Центр; П’ята; Вухо: наднирники</t>
  </si>
  <si>
    <t>Ресурс</t>
  </si>
  <si>
    <t>Відновлення енергетичних резервів</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</si>
  <si>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«Професійне вигорання».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</si>
  <si>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90. Вигорання — перевтома | адаптаційний колапс</t>
  </si>
  <si>
    <t>Підошва стопи + діафрагмальна зона</t>
  </si>
  <si>
    <t>KI1, CV17, BL43 (непряма)</t>
  </si>
  <si>
    <t>Вигорання пов’язане з виснаженням осі DU–ST–KI. Мокса KI1 підсилює “корінь енергії”, а прогрівання діафрагми відновлює емоційно‑дихальну регуляцію й адаптаційні резерви.</t>
  </si>
  <si>
    <t>Осьова: CV6 (зміцнює Ці, тонус і перистальтика); Локальна: Ashi (локальний вплив); Вегетативна: HT7 (заспокоює Шень, нормалізує сон); Фасціальна: ST40 (перетворює слиз/флегму); Підтримуюча: ST36 (тонізує Ці/Кров, імуномодуляція); Рефлекторно‑кінцева: LI11 (He‑Sea LI — «очищує жар»)</t>
  </si>
  <si>
    <t>Порушення памʼяті</t>
  </si>
  <si>
    <t>когнітивний</t>
  </si>
  <si>
    <t>Порушення пам’яті</t>
  </si>
  <si>
    <t>Лоб; Кисть; Стопа; Вухо: мозок</t>
  </si>
  <si>
    <t>Тім’яна ≈25</t>
  </si>
  <si>
    <t>Консолідація</t>
  </si>
  <si>
    <t>Пальпаторна оцінка точки «Краніо-цервікальна» дає лікарю попередній орієнтир на краніальну гемо- та ліквородинаміку як можливий коморбідний фон при «Порушення памʼяті». Позитивна ознака (тканинна тугорухливість субокципітально) — привід уточнити діагноз додатково: неврологічний огляд, за показами нейровізуалізація. Пальпаторний тест не замінює лабораторно-інструментальну діагностику.</t>
  </si>
  <si>
    <t>91. Порушення памʼяті — судинні | гіпоперфузія</t>
  </si>
  <si>
    <t>Підпотиличні + підошва</t>
  </si>
  <si>
    <t>BL10, GB20, KI1</t>
  </si>
  <si>
    <t>Гіпоперфузія та венозний застій у краніо‑шийному переході; прогрівання покращує дренаж і активує вісь DU–KI для підтримки пам’яті.</t>
  </si>
  <si>
    <t>Осьова: CV6 (зміцнює Ці, тонус і перистальтика); Локальна: Ashi (локальний вплив); Вегетативна: SP6 (SP/LR/KI, тазова/вегетативна регуляція); Фасціальна: BL62 (відкриває Ян‑цяо‑май, стабілізує гомілково‑ступневий вузол); Підтримуюча: KI1 («заземлює», опускає надлишковий Ян); Рефлекторно‑кінцева: TE5 (звільняє Shaoyang, головний біль/верхня кінцівка)</t>
  </si>
  <si>
    <t>Зниження уваги</t>
  </si>
  <si>
    <t>нейродинамічний</t>
  </si>
  <si>
    <t>Фокус</t>
  </si>
  <si>
    <t>фронтальний</t>
  </si>
  <si>
    <t>Лоб; Центр; Стопа; Вухо: кора</t>
  </si>
  <si>
    <t>Лобна ≈25</t>
  </si>
  <si>
    <t>Послідовна пальпація точок «Краніо-цервікальна» та «Щитоподібна/паращитоподібні залози» орієнтує лікаря щодо можливого поєднаного коморбідного залучення осей — краніальну гемо- та ліквородинаміку та тиреоїдний метаболічний статус та кальцієвий обмін — на фоні «Зниження уваги». Позитивна реакція хоча б в одній точці — підстава для цілеспрямованого уточнення: неврологічний огляд, за показами нейровізуалізація; ТТГ, вільний Т4, за потреби кальцій/ПТГ. Результат пальпації є попереднім орієнтиром і потребує клініко-лабораторного підтвердження.</t>
  </si>
  <si>
    <t>92. Зниження уваги — перевантаження | кортикальна дисфункція</t>
  </si>
  <si>
    <t>Підпотиличні + долоня</t>
  </si>
  <si>
    <t>BL10/GB20, PC8/HT8</t>
  </si>
  <si>
    <t>Фронтальна кортикальна втома; мокса потилиці покращує нейродинаміку, долоня заспокоює симпатичний компонент, підвищуючи фокус.</t>
  </si>
  <si>
    <t>Осьова: CV6 (зміцнює Ці, тонус і перистальтика); Локальна: Ashi (локальний вплив); Вегетативна: SP6 (SP/LR/KI, тазова/вегетативна регуляція); Фасціальна: LV13 (вплив на SP/LR, фасція передньобокова); Підтримуюча: LI4 (звільняє поверхню, універсальний анальгетик); Рефлекторно‑кінцева: BL17 (Hui‑Meeting Крові, регуляція крові)</t>
  </si>
  <si>
    <t>Дитячий гіпертонус</t>
  </si>
  <si>
    <t>Моторика</t>
  </si>
  <si>
    <t>GV20, GB34</t>
  </si>
  <si>
    <t>Потилиця; Пальці; Стопа; Вухо: мотор</t>
  </si>
  <si>
    <t>Краніальна ≈30</t>
  </si>
  <si>
    <t>Моторна регуляція</t>
  </si>
  <si>
    <t>Пальпаторна оцінка точки «Краніо-цервікальна» дає лікарю попередній орієнтир на краніальну гемо- та ліквородинаміку як можливий коморбідний фон при «Дитячий гіпертонус». Позитивна ознака (тканинна тугорухливість субокципітально) — привід уточнити діагноз додатково: неврологічний огляд, за показами нейровізуалізація. Пальпаторний тест не замінює лабораторно-інструментальну діагностику.</t>
  </si>
  <si>
    <t>93. Дитячий гіпертонус — перинатальні | моторна дизрегуляція</t>
  </si>
  <si>
    <t>Паравертебрально (C–Th–L) + підошва</t>
  </si>
  <si>
    <t>Jiaji по осі, KI1</t>
  </si>
  <si>
    <t>Перинатальна моторна дизрегуляція; осьове прогрівання знижує патологічний тонус, підошва стабілізує моторні кола.</t>
  </si>
  <si>
    <t>Осьова: CV6 (зміцнює Ці, тонус і перистальтика); Локальна: Ashi (локальний вплив); Вегетативна: SP6 (SP/LR/KI, тазова/вегетативна регуляція); Фасціальна: LV13 (вплив на SP/LR, фасція передньобокова); Підтримуюча: GB20 (розсіює «вітер», звільняє голову/очі, шия); Рефлекторно‑кінцева: LI11 (He‑Sea LI — «очищує жар»)</t>
  </si>
  <si>
    <t>Дитяча гіпотонія</t>
  </si>
  <si>
    <t>Тонус</t>
  </si>
  <si>
    <t>Гіпотонія</t>
  </si>
  <si>
    <t>астенічний</t>
  </si>
  <si>
    <t>Центр; П’ята; Стопа; Вухо: тонус</t>
  </si>
  <si>
    <t>Активація</t>
  </si>
  <si>
    <t>Пальпаторна оцінка точки «Щитоподібна/паращитоподібні залози» дає лікарю попередній орієнтир на тиреоїдний метаболічний статус та кальцієвий обмін як можливий коморбідний фон при «Дитяча гіпотонія». Позитивна ознака (гіперестезія або вузликове ущільнення) — привід уточнити діагноз додатково: ТТГ, вільний Т4, за потреби кальцій/ПТГ. Пальпаторний тест не замінює лабораторно-інструментальну діагностику.</t>
  </si>
  <si>
    <t>94. Гіпотонія — трофічні | слабкість ЦНС</t>
  </si>
  <si>
    <t>Живіт</t>
  </si>
  <si>
    <t>Підошва + живіт (нижній Hara)</t>
  </si>
  <si>
    <t>KI1, CV6/CV4</t>
  </si>
  <si>
    <t>Астенічний трофічний дефіцит (SP/KI); прогрів активує «корінь» і покращує трофіку/тонус.</t>
  </si>
  <si>
    <t>1) Нижньогрудні сегменти — вегетативна інтеграція · 2) Трапеція й Gao-huang: генералізований міофасціальний патерн при хронізації · 3) Шийно-грудний перехід; уникнуто CV22 через близькість трахеї · 4) Xue-hai — «море крові», рух застою крові й трофіка · 5) Bai-hui та Yin-tang: базова антистрес-вегетативна пара · 6) «Чотири брами» (Si Guan) — системна регуляція; Су-Джок — кисть і стопа</t>
  </si>
  <si>
    <t>ДЦП (реаб.)</t>
  </si>
  <si>
    <t>ДЦП</t>
  </si>
  <si>
    <t>DU14, Jiaji, ST36</t>
  </si>
  <si>
    <t>Хребет; Кисть; Стопа; Вухо: мотор</t>
  </si>
  <si>
    <t>Shi-BL + Shi-Cranio</t>
  </si>
  <si>
    <t>Осьова зона ≈80</t>
  </si>
  <si>
    <t>Пальпаторна оцінка точки «Краніо-цервікальна» дає лікарю попередній орієнтир на краніальну гемо- та ліквородинаміку як можливий коморбідний фон при «ДЦП (реаб.)». Позитивна ознака (тканинна тугорухливість субокципітально) — привід уточнити діагноз додатково: неврологічний огляд, за показами нейровізуалізація. Пальпаторний тест не замінює лабораторно-інструментальну діагностику.</t>
  </si>
  <si>
    <t>95. ДЦП — перинатальні | ураження моторних шляхів</t>
  </si>
  <si>
    <t>Паравертебрально (DU/BL) + підошва</t>
  </si>
  <si>
    <t>DU14, Jiaji, KI1</t>
  </si>
  <si>
    <t>Ураження моторних шляхів; осьовий прогрів стимулює нейропластичність, підошва — інтеграцію рухових шаблонів.</t>
  </si>
  <si>
    <t>Осьова: CV6 (зміцнює Ці, тонус і перистальтика); Локальна: Ashi (локальний вплив); Вегетативна: SP6 (SP/LR/KI, тазова/вегетативна регуляція); Фасціальна: LV13 (вплив на SP/LR, фасція передньобокова); Підтримуюча: GB20 (розсіює «вітер», звільняє голову/очі, шия); Рефлекторно‑кінцева: BL60 (Jing‑River UB — «аспірин меридіанів», біль уздовж спини/шиї)</t>
  </si>
  <si>
    <t>Скрегіт зубами</t>
  </si>
  <si>
    <t>Жувальна зона</t>
  </si>
  <si>
    <t>Бруксизм</t>
  </si>
  <si>
    <t>жувальний</t>
  </si>
  <si>
    <t>ST6, LV3</t>
  </si>
  <si>
    <t>Щелепа; Кисть; Стопа; Вухо: жування</t>
  </si>
  <si>
    <t>Shi-Facial</t>
  </si>
  <si>
    <t>Жувальна зона ≈20</t>
  </si>
  <si>
    <t>Релаксація</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</si>
  <si>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«Скрегіт зубами».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</si>
  <si>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96. Скрегіт зубами — стрес | жувальна гіперактивація</t>
  </si>
  <si>
    <t>Грудино‑ключично (SCM) + діафрагма</t>
  </si>
  <si>
    <t>SCM‑зона, CV17/реберна дуга</t>
  </si>
  <si>
    <t>Стрес‑індукована жувальна гіперактивація; розслаблення шийного пояса і зниження тривожної напруги через діафрагмальний контур.</t>
  </si>
  <si>
    <t>Осьова: CV6 (зміцнює Ці, тонус і перистальтика); Локальна: Ashi (локальний вплив); Вегетативна: SP6 (SP/LR/KI, тазова/вегетативна регуляція); Фасціальна: BL62 (відкриває Ян‑цяо‑май, стабілізує гомілково‑ступневий вузол); Підтримуюча: KI1 («заземлює», опускає надлишковий Ян); Рефлекторно‑кінцева: LI11 (He‑Sea LI — «очищує жар»)</t>
  </si>
  <si>
    <t>1) Грудні сегменти, симпатична ланка · 2) Ромбоподібні й підостьовий: міжлопатковий патерн · 3) Back-Shu Нирок — вісь гіпоталамус–гіпофіз–наднирники · 4) Hui-точка крові — гемодинамічна ланка · 5) Bai-hui та Yin-tang: базова антистрес-вегетативна пара · 6) Дистальна пара верхньої частини тіла; Су-Джок — відповідна зона на КИСТІ</t>
  </si>
  <si>
    <t>стресовий</t>
  </si>
  <si>
    <t>Напруга</t>
  </si>
  <si>
    <t>ТМЩС</t>
  </si>
  <si>
    <t>суглобовий</t>
  </si>
  <si>
    <t>ST7, SI19</t>
  </si>
  <si>
    <t>Щелепа; Кисть; Стопа; Вухо: СНЩС</t>
  </si>
  <si>
    <t>Зняття напруги</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</si>
  <si>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«Бруксизм».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</si>
  <si>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97. Бруксизм — тривожність | нічна симпатикотонія</t>
  </si>
  <si>
    <t>Грудино‑ключично + долоня</t>
  </si>
  <si>
    <t>SCM, PC8</t>
  </si>
  <si>
    <t>Нічна симпатикотонія; локальна декомпресія шийно‑щелепного контуру + гальмування імпульсивності через PC.</t>
  </si>
  <si>
    <t>ST7</t>
  </si>
  <si>
    <t>Осьова: CV6 (зміцнює Ці, тонус і перистальтика); Локальна: ST7 (СНЩС — біль/клік); Вегетативна: SP6 (SP/LR/KI, тазова/вегетативна регуляція); Фасціальна: LV13 (вплив на SP/LR, фасція передньобокова); Підтримуюча: EX-HN3 (підтримка/анальгезія); Рефлекторно‑кінцева: TE5 (звільняє Shaoyang, головний біль/верхня кінцівка)</t>
  </si>
  <si>
    <t>1) Верхньошийна сегментарна аферентація до трійчасто-цервікального ядра · 2) Жувальний і скроневий м’язи (Travell): відображений біль у голову · 3) Back-Shu Нирок — вісь гіпоталамус–гіпофіз–наднирники · 4) Hui-точка крові — гемодинамічна ланка · 5) Bai-hui та Yin-tang: базова антистрес-вегетативна пара · 6) Дистальна пара верхньої частини тіла; Су-Джок — відповідна зона на КИСТІ</t>
  </si>
  <si>
    <t>Фасціальні лінії</t>
  </si>
  <si>
    <t>Ashi, GB34, ST36</t>
  </si>
  <si>
    <t>М’язи; Кисть; Стопа; Вухо: м’язи</t>
  </si>
  <si>
    <t>Реліз</t>
  </si>
  <si>
    <t>Shi-Fascial</t>
  </si>
  <si>
    <t>Фасціальні лінії ≈60</t>
  </si>
  <si>
    <t>Розрив патологічних ланцюгів</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</si>
  <si>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«Міофасціальний синдром».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</si>
  <si>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98. Міофасціальний синдром — перевантаження | фасціальна фіксація</t>
  </si>
  <si>
    <t>Паравертебрально + задня поверхня стегна</t>
  </si>
  <si>
    <t>Jiaji, BL36–BL57, Ashi</t>
  </si>
  <si>
    <t>Фасціальна фіксація вздовж задньої лінії; тепловий «реліз» розриває патологічні МФ‑ланцюги.</t>
  </si>
  <si>
    <t>Осьова: CV6 (зміцнює Ці, тонус і перистальтика); Локальна: Ashi (локальний вплив); Вегетативна: SP6 (SP/LR/KI, тазова/вегетативна регуляція); Фасціальна: GB34 (Hui сухожиль); Підтримуюча: GB20 (розсіює «вітер», звільняє голову/очі, шия); Рефлекторно‑кінцева: LI11 (He‑Sea LI — «очищує жар»)</t>
  </si>
  <si>
    <t>Хронічні спазми</t>
  </si>
  <si>
    <t>нейромʼяз</t>
  </si>
  <si>
    <t>BL – ST</t>
  </si>
  <si>
    <t>Розслаблення</t>
  </si>
  <si>
    <t>Генералізовані спазми</t>
  </si>
  <si>
    <t>BL57, ST36, LV3</t>
  </si>
  <si>
    <t>М’язи; Кисть; Стопа; Вухо: мотор</t>
  </si>
  <si>
    <t>Заспокоєння</t>
  </si>
  <si>
    <t>Гомілка ≈30</t>
  </si>
  <si>
    <t>Пальпаторна оцінка точки «Нирки» дає лікарю попередній орієнтир на водно-електролітний баланс і ренін-ангіотензинову регуляцію АТ як можливий коморбідний фон при «Хронічні спазми». Позитивна ознака (локальна тканинна тугорухливість/болючість) — привід уточнити діагноз додатково: креатинін, СКФ, електроліти, загальний аналіз сечі. Пальпаторний тест не замінює лабораторно-інструментальну діагностику.</t>
  </si>
  <si>
    <t>99. Хронічні спазми — електролітні | нейромʼязова збудливість</t>
  </si>
  <si>
    <t>Гомілка + підошва</t>
  </si>
  <si>
    <t>BL57, KI1</t>
  </si>
  <si>
    <t>Електролітна/нейром’язова збудливість; локальне зняття спазму та седативний вплив через «корінь» KI.</t>
  </si>
  <si>
    <t>CV9</t>
  </si>
  <si>
    <t>Осьова: CV6 (зміцнює Ці, тонус і перистальтика); Локальна: Ashi (локальний вплив); Вегетативна: SP6 (SP/LR/KI, тазова/вегетативна регуляція); Фасціальна: GB34 (Hui сухожиль); Підтримуюча: CV9 (регуляція водного обміну (набряки)); Рефлекторно‑кінцева: LI11 (He‑Sea LI — «очищує жар»)</t>
  </si>
  <si>
    <t>1) Сегменти великогомілкового/малогомілкового нервів · 2) Литковий м’яз: судоми й ахіллодинія · 3) Back-Shu Нирок · 4) Hui-точка сухожиль — фасціально-сухожильна релаксація · 5) Bai-hui та Yin-tang: базова антистрес-вегетативна пара · 6) Дистальна пара нижньої частини тіла; Су-Джок — відповідна зона на СТОПІ</t>
  </si>
  <si>
    <t>Загальне зниження якості життя</t>
  </si>
  <si>
    <t>DU – ST – KI</t>
  </si>
  <si>
    <t>Глобальна адаптація</t>
  </si>
  <si>
    <t>Загальне виснаження</t>
  </si>
  <si>
    <t>Лоб; Центр; П’ята; Вухо: енергія</t>
  </si>
  <si>
    <t>Shi-Cranio + Shi-Hara(KI/ST)</t>
  </si>
  <si>
    <t>Повна вісь ≈120</t>
  </si>
  <si>
    <t>Глобальна стабілізація</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</si>
  <si>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«Загальне зниження якості життя».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</si>
  <si>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100. ↓Якість життя — мультифакторна | системна дизадаптація</t>
  </si>
  <si>
    <t>Діафрагма + підошва</t>
  </si>
  <si>
    <t>CV17, KI1</t>
  </si>
  <si>
    <t>Системна дизадаптація DU–ST–KI; підошва дає енергетичний «якір», діафрагма нормалізує автономну регуляцію.</t>
  </si>
  <si>
    <t>Осьова: CV6 (зміцнює Ці, тонус і перистальтика); Локальна: Ashi (локальний вплив); Вегетативна: SP6 (SP/LR/KI, тазова/вегетативна регуляція); Фасціальна: ST40 (перетворює слиз/флегму); Підтримуюча: KI1 («заземлює», опускає надлишковий Ян); Рефлекторно‑кінцева: SP4 (активує Chong‑mai (з PC6), ШКТ)</t>
  </si>
  <si>
    <t>Шийний радикуліт</t>
  </si>
  <si>
    <t>Нейрокомпресійний, спастичний</t>
  </si>
  <si>
    <t>BL, SI, GB, DU</t>
  </si>
  <si>
    <t>Сегментарний біль C-відділу</t>
  </si>
  <si>
    <t>C5–C7</t>
  </si>
  <si>
    <t>Застій Qi + холод</t>
  </si>
  <si>
    <t>BL10, GB20, SI15</t>
  </si>
  <si>
    <t>Кисть – шия; стопа – шийний сегмент; вухо – хребет</t>
  </si>
  <si>
    <t>Вертикальна вісь + локус</t>
  </si>
  <si>
    <t>Shi-Neuro-Cervical</t>
  </si>
  <si>
    <t>Hara-Cervical-Posterior: 5×10 см ≈50</t>
  </si>
  <si>
    <t>Зняття м’язового блоку → ЕМХ → Су-Джок (палець кисті)</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</si>
  <si>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«Шийний радикуліт».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</si>
  <si>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Переохолодження, постура</t>
  </si>
  <si>
    <t>Міофасціальний блок</t>
  </si>
  <si>
    <t>Паравертебрально C5–C7</t>
  </si>
  <si>
    <t>Вухо + кисть</t>
  </si>
  <si>
    <t>Паравертебрально C5–C7 + вухо/кисть (проєкції)</t>
  </si>
  <si>
    <t>Jiaji C5–C7, вушна проєкція хребта, Су‑Джок кисті</t>
  </si>
  <si>
    <t>Нейрокомпресія + «холод»; осьове прогрівання знімає спазм, периферичні проєкції фіксують анальгетичний ефект.</t>
  </si>
  <si>
    <t>Осьова: GV4 (Mingmen, тонізує Ян Нирок, зігріває поперек); Локальна: GB30 (локальна при ішіалгії/радикуліті); Вегетативна: SP6 (SP/LR/KI, тазова/вегетативна регуляція); Фасціальна: GB34 (Hui сухожиль); Підтримуюча: BL58 (Luo UB — знімає тяжкість литки); Рефлекторно‑кінцева: BL60 (Jing‑River UB — «аспірин меридіанів», біль уздовж спини/шиї)</t>
  </si>
  <si>
    <t>Шийний остеохондроз</t>
  </si>
  <si>
    <t>Дегенеративний</t>
  </si>
  <si>
    <t>BL, DU, GB</t>
  </si>
  <si>
    <t>Трофіка + стабілізація</t>
  </si>
  <si>
    <t>Хронічний</t>
  </si>
  <si>
    <t>Порожнеча нирок</t>
  </si>
  <si>
    <t>Кисть – шия; стопа – нирки</t>
  </si>
  <si>
    <t>Вертикальна, глибинна</t>
  </si>
  <si>
    <t>Shi-BL(C)</t>
  </si>
  <si>
    <t>Hara-Cervico-Thoracic: 4×12 см ≈48</t>
  </si>
  <si>
    <t>Повільний глибокий тиск + НЧ ЕМХ</t>
  </si>
  <si>
    <t>Пальпаторна оцінка точки «Щитоподібна/паращитоподібні залози» дає лікарю попередній орієнтир на тиреоїдний метаболічний статус та кальцієвий обмін як можливий коморбідний фон при «Шийний остеохондроз». Позитивна ознака (гіперестезія або вузликове ущільнення) — привід уточнити діагноз додатково: ТТГ, вільний Т4, за потреби кальцій/ПТГ. Пальпаторний тест не замінює лабораторно-інструментальну діагностику.</t>
  </si>
  <si>
    <t>Вік, гіподинамія</t>
  </si>
  <si>
    <t>Трофічний дефіцит</t>
  </si>
  <si>
    <t>Шийно-комірцева</t>
  </si>
  <si>
    <t>Ниркова зона стопи</t>
  </si>
  <si>
    <t>Шийно‑комірцева + ниркова зона стопи</t>
  </si>
  <si>
    <t>BL10/GB20, KI1/KI3‑проєкція</t>
  </si>
  <si>
    <t>Дегенеративний процес з глибинним (KI) дефіцитом; прогрів шийної трофіки + активація осі KI.</t>
  </si>
  <si>
    <t>Осьова: GV4 (Mingmen, тонізує Ян Нирок, зігріває поперек); Локальна: Ashi (локальний вплив); Вегетативна: SP6 (SP/LR/KI, тазова/вегетативна регуляція); Фасціальна: ST40 (перетворює слиз/флегму); Підтримуюча: EX-HN3 (підтримка/анальгезія); Рефлекторно‑кінцева: SP4 (активує Chong‑mai (з PC6), ШКТ)</t>
  </si>
  <si>
    <t>1) Сегментарна регуляція шийних корінців · 2) Верхня трапеція й підпотиличні (Travell): класичний цервікогенний патерн · 3) Шийно-грудний перехід; уникнуто CV22 через близькість трахеї · 4) He-Sea LI — базова протизапально-мікроциркуляторна точка · 5) Bai-hui та Yin-tang: базова антистрес-вегетативна пара · 6) Дистальна пара верхньої частини тіла; Су-Джок — відповідна зона на КИСТІ</t>
  </si>
  <si>
    <t>Люмбаго</t>
  </si>
  <si>
    <t>Гострий спазм</t>
  </si>
  <si>
    <t>BL, KI, DU</t>
  </si>
  <si>
    <t>Швидке зняття блокади</t>
  </si>
  <si>
    <t>L4–L5</t>
  </si>
  <si>
    <t>Холод + застій</t>
  </si>
  <si>
    <t>BL23, DU3</t>
  </si>
  <si>
    <t>Стопа – поперек; вухо – хребет</t>
  </si>
  <si>
    <t>Нижня вісь</t>
  </si>
  <si>
    <t>Shi-BL(L)</t>
  </si>
  <si>
    <t>Hara-Lumbar-Focal: 4×6 см ×2 ≈48</t>
  </si>
  <si>
    <t>Локальна декомпресія → фіксація поля</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</si>
  <si>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«Люмбаго».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</si>
  <si>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Переохолодження</t>
  </si>
  <si>
    <t>М’язовий спазм</t>
  </si>
  <si>
    <t>Поперек</t>
  </si>
  <si>
    <t>Стопа</t>
  </si>
  <si>
    <t>Поперек + стопа</t>
  </si>
  <si>
    <t>BL23, DU3, KI1</t>
  </si>
  <si>
    <t>Гострий спазм L4–L5; локальне теплове розслаблення + підсилення нижньої осі BL/KI.</t>
  </si>
  <si>
    <t>DU3</t>
  </si>
  <si>
    <t>Осьова: GV4 (Mingmen, тонізує Ян Нирок, зігріває поперек); Локальна: DU3 (локальний вплив); Вегетативна: SP6 (SP/LR/KI, тазова/вегетативна регуляція); Фасціальна: BL62 (відкриває Ян‑цяо‑май, стабілізує гомілково‑ступневий вузол); Підтримуюча: BL58 (Luo UB — знімає тяжкість литки); Рефлекторно‑кінцева: BL60 (Jing‑River UB — «аспірин меридіанів», біль уздовж спини/шиї)</t>
  </si>
  <si>
    <t>1) Поперекові корінці L3–L5 · 2) Квадратний м’яз попереку й сідничні: люмбо-глютеальний патерн · 3) Back-Shu Нирок — вісь гіпоталамус–гіпофіз–наднирники · 4) Hui-точка сухожиль — фасціально-сухожильна релаксація · 5) Bai-hui та Yin-tang: базова антистрес-вегетативна пара · 6) Дистальна пара нижньої частини тіла; Су-Джок — відповідна зона на СТОПІ</t>
  </si>
  <si>
    <t>Сакроілеїт</t>
  </si>
  <si>
    <t>Тазовий дисбаланс</t>
  </si>
  <si>
    <t>GB, BL, KI</t>
  </si>
  <si>
    <t>Баланс осі тазу</t>
  </si>
  <si>
    <t>Односторонній</t>
  </si>
  <si>
    <t>Застій крові</t>
  </si>
  <si>
    <t>GB30, BL32</t>
  </si>
  <si>
    <t>Стопа – таз; сіднична зона</t>
  </si>
  <si>
    <t>Горизонтальна вісь</t>
  </si>
  <si>
    <t>Shi-Pelvic</t>
  </si>
  <si>
    <t>Hara-Sacral-Gluteal: 6×8 см ≈48</t>
  </si>
  <si>
    <t>Баланс тазу + Су-Джок стопи</t>
  </si>
  <si>
    <t>Пальпаторна оцінка точки «Матка/яєчники, широка зв'язка» дає лікарю попередній орієнтир на гормонально-тазову регуляторну вісь як можливий коморбідний фон при «Сакроілеїт». Позитивна ознака (локальна болючість/ущільнення) — привід уточнити діагноз додатково: гінекологічний огляд, гормональна панель за показами. Пальпаторний тест не замінює лабораторно-інструментальну діагностику.</t>
  </si>
  <si>
    <t>Травма, асиметрія</t>
  </si>
  <si>
    <t>Механічна</t>
  </si>
  <si>
    <t>Криж</t>
  </si>
  <si>
    <t>Криж + стопа</t>
  </si>
  <si>
    <t>BL32/BL27–BL34, KI1</t>
  </si>
  <si>
    <t>Тазовий механічний дисбаланс; крижова деконгестія та баланс GB/BL через стопу.</t>
  </si>
  <si>
    <t>Осьова: GV4 (Mingmen, тонізує Ян Нирок, зігріває поперек); Локальна: Ashi (локальний вплив); Вегетативна: SP6 (SP/LR/KI, тазова/вегетативна регуляція); Фасціальна: GB34 (Hui сухожиль); Підтримуюча: GB20 (розсіює «вітер», звільняє голову/очі, шия); Рефлекторно‑кінцева: SP4 (активує Chong‑mai (з PC6), ШКТ)</t>
  </si>
  <si>
    <t>Гіпотиреоз</t>
  </si>
  <si>
    <t>Ендокринний дефіцит</t>
  </si>
  <si>
    <t>KI, SP, CV</t>
  </si>
  <si>
    <t>Активація осі</t>
  </si>
  <si>
    <t>Yang-дефіцит</t>
  </si>
  <si>
    <t>Долоня – ендокринна; вухо – гормони</t>
  </si>
  <si>
    <t>Центральна вісь</t>
  </si>
  <si>
    <t>Hara-Lower-Abdomen: 6×8 ≈48</t>
  </si>
  <si>
    <t>Підтримка осі HPT</t>
  </si>
  <si>
    <t>Пальпаторна оцінка точки «Щитоподібна/паращитоподібні залози» дає лікарю попередній орієнтир на тиреоїдний метаболічний статус та кальцієвий обмін як можливий коморбідний фон при «Гіпотиреоз». Позитивна ознака (гіперестезія або вузликове ущільнення) — привід уточнити діагноз додатково: ТТГ, вільний Т4, за потреби кальцій/ПТГ. Пальпаторний тест не замінює лабораторно-інструментальну діагностику.</t>
  </si>
  <si>
    <t>Аутоімунність</t>
  </si>
  <si>
    <t>Гормональна</t>
  </si>
  <si>
    <t>Нижній живіт</t>
  </si>
  <si>
    <t>Вухо</t>
  </si>
  <si>
    <t>Нижній живіт + вухо (ендокрин)</t>
  </si>
  <si>
    <t>CV4, вушна «ендокринна»</t>
  </si>
  <si>
    <t>Yang‑дефіцит і слабкість HPT‑осі; прогрівання нижнього обігрівача + аурикулярна модифікація гормональної регуляції.</t>
  </si>
  <si>
    <t>1) Верхньошийна сегментарна аферентація до трійчасто-цервікального ядра · 2) Жувальний і скроневий м’язи (Travell): відображений біль у голову · 3) Шийно-грудний перехід; уникнуто CV22 через близькість трахеї · 4) He-Sea LI — базова протизапально-мікроциркуляторна точка · 5) Bai-hui та Yin-tang: базова антистрес-вегетативна пара · 6) Дистальна пара верхньої частини тіла; Су-Джок — відповідна зона на КИСТІ</t>
  </si>
  <si>
    <t>ГЕРХ</t>
  </si>
  <si>
    <t>Вегетативний дисбаланс</t>
  </si>
  <si>
    <t>ST, CV, LV</t>
  </si>
  <si>
    <t>Регуляція сфінктерів</t>
  </si>
  <si>
    <t>Печінка атакує шлунок</t>
  </si>
  <si>
    <t>Долоня – шлунок; стопа – печінка</t>
  </si>
  <si>
    <t>Вертикальна</t>
  </si>
  <si>
    <t>Hara-Epigastric: 6×7 ≈42</t>
  </si>
  <si>
    <t>Регуляція моторики</t>
  </si>
  <si>
    <t>Пальпаторна оцінка точки «Шлунок» дає лікарю попередній орієнтир на секреторно-моторну функцію шлунка як можливий коморбідний фон при «ГЕРХ». Позитивна ознака (болючість/гіперестезія) — привід уточнити діагноз додатково: дослідження на H. pylori, за показами ФГДС. Пальпаторний тест не замінює лабораторно-інструментальну діагностику.</t>
  </si>
  <si>
    <t>Вегетативна</t>
  </si>
  <si>
    <t>Епігастрій</t>
  </si>
  <si>
    <t>Епігастрій + стопа (LV‑проєкція)</t>
  </si>
  <si>
    <t>CV12, LV3/зона LV на стопі</t>
  </si>
  <si>
    <t>Вегетативна дискінезія сфінктерів; гармонізація ST та зняття «LV атакує ST».</t>
  </si>
  <si>
    <t>SP15</t>
  </si>
  <si>
    <t>Осьова: CV12 (гармонізує Шлунок, знімає спазм); Локальна: Ashi (локальний вплив); Вегетативна: LR3 (розсіює застій Ці Печінки, заспокоює); Фасціальна: BL62 (відкриває Ян‑цяо‑май, стабілізує гомілково‑ступневий вузол); Підтримуюча: GV24 (заспокоює Шень, фронтальний біль); Рефлекторно‑кінцева: SP15 (регулює товсту кишку)</t>
  </si>
  <si>
    <t>1) Сегменти великогомілкового/малогомілкового нервів · 2) Литковий м’яз: судоми й ахіллодинія · 3) Back-Shu Шлунка · 4) Xue-hai — базова мікроциркуляторна точка для кінцівок · 5) Bai-hui та Yin-tang: базова антистрес-вегетативна пара · 6) Дистальна пара нижньої частини тіла; Су-Джок — відповідна зона на СТОПІ</t>
  </si>
  <si>
    <t>Виразкова хвороба</t>
  </si>
  <si>
    <t>Трофічно-ішемічний</t>
  </si>
  <si>
    <t>ST, SP, CV</t>
  </si>
  <si>
    <t>Захист слизової</t>
  </si>
  <si>
    <t>Ремісія</t>
  </si>
  <si>
    <t>Жар у шлунку</t>
  </si>
  <si>
    <t>CV12, SP4</t>
  </si>
  <si>
    <t>Долоня – шлунок</t>
  </si>
  <si>
    <t>Hara-Epigastric-Deep ≈50</t>
  </si>
  <si>
    <t>Пальпаторна оцінка точки «Шлунок» дає лікарю попередній орієнтир на секреторно-моторну функцію шлунка як можливий коморбідний фон при «Виразкова хвороба». Позитивна ознака (болючість/гіперестезія) — привід уточнити діагноз додатково: дослідження на H. pylori, за показами ФГДС. Пальпаторний тест не замінює лабораторно-інструментальну діагностику.</t>
  </si>
  <si>
    <t>H. pylori</t>
  </si>
  <si>
    <t>Секреторна</t>
  </si>
  <si>
    <t>Вегетативна зона</t>
  </si>
  <si>
    <t>Епігастрій (глибоке) + вегетативна зона</t>
  </si>
  <si>
    <t>CV12 (deep), CV15/парасимпатичний регіон</t>
  </si>
  <si>
    <t>Трофічно‑ішемічний компонент; посилення слизового захисту та вагусна стабілізація.</t>
  </si>
  <si>
    <t>Осьова: CV12 (гармонізує Шлунок, знімає спазм); Локальна: Ashi (локальний вплив); Вегетативна: SP6 (SP/LR/KI, тазова/вегетативна регуляція); Фасціальна: BL62 (відкриває Ян‑цяо‑май, стабілізує гомілково‑ступневий вузол); Підтримуюча: GB20 (розсіює «вітер», звільняє голову/очі, шия); Рефлекторно‑кінцева: BL60 (Jing‑River UB — «аспірин меридіанів», біль уздовж спини/шиї)</t>
  </si>
  <si>
    <t>1) Back-Shu ураженого органа (back-shu шлунка) · 2) Сегментарні паравертебральні тригери вісцеро-соматичного рефлексу · 3) Back-Shu Шлунка · 4) Xue-hai — «море крові», рух застою крові й трофіка · 5) Bai-hui та Yin-tang: базова антистрес-вегетативна пара · 6) «Чотири брами» (Si Guan) — системна регуляція; Су-Джок — кисть і стопа</t>
  </si>
  <si>
    <t>Хронічний коліт</t>
  </si>
  <si>
    <t>Спастичний</t>
  </si>
  <si>
    <t>LI, SP, ST</t>
  </si>
  <si>
    <t>Гіпомоторний</t>
  </si>
  <si>
    <t>Застій Qi</t>
  </si>
  <si>
    <t>ST25, LI11</t>
  </si>
  <si>
    <t>Стопа – кишківник</t>
  </si>
  <si>
    <t>Shi-Hara(LI)</t>
  </si>
  <si>
    <t>Hara-Abdomen-Lower ≈70</t>
  </si>
  <si>
    <t>Перед ЕМХ</t>
  </si>
  <si>
    <t>Пальпаторна оцінка точки «Товстий кишківник» дає лікарю попередній орієнтир на моторну функцію товстого кишківника як можливий коморбідний фон при «Хронічний коліт». Позитивна ознака (локальна болючість/спазм по ходу кишки) — привід уточнити діагноз додатково: копрограма, за показами колоноскопія. Пальпаторний тест не замінює лабораторно-інструментальну діагностику.</t>
  </si>
  <si>
    <t>Дисбіоз</t>
  </si>
  <si>
    <t>Моторна</t>
  </si>
  <si>
    <t>Живіт (нижній) + стопа</t>
  </si>
  <si>
    <t>ST25, CV6, проєкція LI на стопі</t>
  </si>
  <si>
    <t>Гіпомоторика, застій Qi; тепловий стимул перистальтики + активація кишкового контуру.</t>
  </si>
  <si>
    <t>Осьова: CV12 (гармонізує Шлунок, знімає спазм); Локальна: ST25 (Front‑Mu Товстої кишки); Вегетативна: SP6 (SP/LR/KI, тазова/вегетативна регуляція); Фасціальна: ST40 (перетворює слиз/флегму); Підтримуюча: LI4 (звільняє поверхню, універсальний анальгетик); Рефлекторно‑кінцева: BL60 (Jing‑River UB — «аспірин меридіанів», біль уздовж спини/шиї)</t>
  </si>
  <si>
    <t>1) Back-Shu ураженого органа (back-shu товстої кишки) · 2) Сегментарні паравертебральні тригери вісцеро-соматичного рефлексу · 3) Back-Shu Товстої кишки · 4) He-Sea LI — базова протизапально-мікроциркуляторна точка · 5) Yi-she (нав’язливі думки) і Nei-guan: вісь «кишківник–мозок» · 6) «Чотири брами» (Si Guan) — системна регуляція; Су-Джок — кисть і стопа</t>
  </si>
  <si>
    <t>Холецистит</t>
  </si>
  <si>
    <t>Застій жовчі</t>
  </si>
  <si>
    <t>GB, LV, SP</t>
  </si>
  <si>
    <t>Волога-жар</t>
  </si>
  <si>
    <t>GB34, LV14</t>
  </si>
  <si>
    <t>Стопа – жовчний</t>
  </si>
  <si>
    <t>Правобічна</t>
  </si>
  <si>
    <t>Shi-Hara(LV/GB)</t>
  </si>
  <si>
    <t>Hara-Right-Hypochondrium ≈50</t>
  </si>
  <si>
    <t>Пальпаторна оцінка точки «Жовчний міхур» дає лікарю попередній орієнтир на жовчовидільну функцію як можливий коморбідний фон при «Холецистит». Позитивна ознака (локальна болючість) — привід уточнити діагноз додатково: УЗД жовчного міхура, білірубін, ЛФ. Пальпаторний тест не замінює лабораторно-інструментальну діагностику.</t>
  </si>
  <si>
    <t>Дієта</t>
  </si>
  <si>
    <t>Застійна</t>
  </si>
  <si>
    <t>Праве підребер’я</t>
  </si>
  <si>
    <t>Праве підребер’я + стопа (GB)</t>
  </si>
  <si>
    <t>GB24/LV14, GB‑проєкція на стопі</t>
  </si>
  <si>
    <t>Хронічний застій жовчі (волога‑жар); дренаж жовчних шляхів і розвантаження GB/LV.</t>
  </si>
  <si>
    <t>Осьова: CV4 (живить Інь, нижній обігрівач, урогенітальна регуляція); Локальна: CV3 (Front‑Mu сечового міхура, урогенітальні); Вегетативна: CV4 (живить Інь, нижній обігрівач, урогенітальна регуляція); Фасціальна: SP10 (рухає/очищує Кров); Підтримуюча: KI1 («заземлює», опускає надлишковий Ян); Рефлекторно‑кінцева: SP4 (активує Chong‑mai (з PC6), ШКТ)</t>
  </si>
  <si>
    <t>1) Попереково-крижові сегменти тазового сплетення · 2) Тазове дно й сакро-глютеальна зона · 3) Back-Shu Жовчного міхура · 4) Xue-hai — «море крові», рух застою крові й трофіка · 5) Bai-hui та Yin-tang: базова антистрес-вегетативна пара · 6) Дистальна пара нижньої частини тіла; Су-Джок — відповідна зона на СТОПІ</t>
  </si>
  <si>
    <t>ЖКХ</t>
  </si>
  <si>
    <t>Спастично-обструктивний</t>
  </si>
  <si>
    <t>GB, SP</t>
  </si>
  <si>
    <t>Зменшення тиску</t>
  </si>
  <si>
    <t>Без колік</t>
  </si>
  <si>
    <t>Застій</t>
  </si>
  <si>
    <t>GB24, SP6</t>
  </si>
  <si>
    <t>Локальна</t>
  </si>
  <si>
    <t>Hara-Right-Flank ≈45</t>
  </si>
  <si>
    <t>Зменшення застою</t>
  </si>
  <si>
    <t>Пальпаторна оцінка точки «Жовчний міхур» дає лікарю попередній орієнтир на жовчовидільну функцію як можливий коморбідний фон при «ЖКХ». Позитивна ознака (локальна болючість) — привід уточнити діагноз додатково: УЗД жовчного міхура, білірубін, ЛФ. Пальпаторний тест не замінює лабораторно-інструментальну діагностику.</t>
  </si>
  <si>
    <t>Метаболічна</t>
  </si>
  <si>
    <t>Кристалізація</t>
  </si>
  <si>
    <t>Правий фланг</t>
  </si>
  <si>
    <t>Правий фланг + стопа</t>
  </si>
  <si>
    <t>Правий фланг GB‑зони, SP6/GB‑проєкція</t>
  </si>
  <si>
    <t>Спастично‑обструктивний компонент; зниження локального тиску та покращення відтоку.</t>
  </si>
  <si>
    <t>Осьова: CV6 (зміцнює Ці, тонус і перистальтика); Локальна: Ashi (локальний вплив); Вегетативна: SP6 (SP/LR/KI, тазова/вегетативна регуляція); Фасціальна: ST40 (перетворює слиз/флегму); Підтримуюча: GV24 (заспокоює Шень, фронтальний біль); Рефлекторно‑кінцева: LI11 (He‑Sea LI — «очищує жар»)</t>
  </si>
  <si>
    <t>1) Сегменти великогомілкового/малогомілкового нервів · 2) Литковий м’яз: судоми й ахіллодинія · 3) Back-Shu Жовчного міхура · 4) Xue-hai — базова мікроциркуляторна точка для кінцівок · 5) Bai-hui та Yin-tang: базова антистрес-вегетативна пара · 6) Дистальна пара нижньої частини тіла; Су-Джок — відповідна зона на СТОПІ</t>
  </si>
  <si>
    <t>Панкреатит (хр.)</t>
  </si>
  <si>
    <t>Трофічний</t>
  </si>
  <si>
    <t>SP, ST, CV</t>
  </si>
  <si>
    <t>Підтримка функції</t>
  </si>
  <si>
    <t>Слабкість SP</t>
  </si>
  <si>
    <t>SP3, CV12</t>
  </si>
  <si>
    <t>Долоня – ПЗ</t>
  </si>
  <si>
    <t>Hara-Epigastric ≈48</t>
  </si>
  <si>
    <t>Пальпаторна оцінка точки «Підшлункова залоза» дає лікарю попередній орієнтир на екзо- та ендокринну функцію підшлункової залози як можливий коморбідний фон при «Панкреатит (хр.)». Позитивна ознака (болючість/ущільнення) — привід уточнити діагноз додатково: глюкоза/HbA1c, амілаза/ліпаза. Пальпаторний тест не замінює лабораторно-інструментальну діагностику.</t>
  </si>
  <si>
    <t>Алкоголь</t>
  </si>
  <si>
    <t>Ферментна</t>
  </si>
  <si>
    <t>Епігастрій + вегетативна зона</t>
  </si>
  <si>
    <t>CV12, CV15/паравертебральні симпатичні</t>
  </si>
  <si>
    <t>Хронічна ферментна слабкість; трофічний прогрів ПЗ та автономна регуляція.</t>
  </si>
  <si>
    <t>Осьова: CV12 (гармонізує Шлунок, знімає спазм); Локальна: CV12 (гармонізує Шлунок, знімає спазм); Вегетативна: LR3 (розсіює застій Ці Печінки, заспокоює); Фасціальна: GB34 (Hui сухожиль); Підтримуюча: GV24 (заспокоює Шень, фронтальний біль); Рефлекторно‑кінцева: LI11 (He‑Sea LI — «очищує жар»)</t>
  </si>
  <si>
    <t>1) Back-Shu ураженого органа (back-shu селезінки/підшлункової) · 2) Сегментарні паравертебральні тригери вісцеро-соматичного рефлексу · 3) Back-Shu Селезінки/Підшлункової · 4) Xue-hai — «море крові», рух застою крові й трофіка · 5) Bai-hui та Yin-tang: базова антистрес-вегетативна пара · 6) «Чотири брами» (Si Guan) — системна регуляція; Су-Джок — кисть і стопа</t>
  </si>
  <si>
    <t>Анемія</t>
  </si>
  <si>
    <t>Гіпоксичний</t>
  </si>
  <si>
    <t>SP, ST, KI</t>
  </si>
  <si>
    <t>Гемопоез</t>
  </si>
  <si>
    <t>Функціональна</t>
  </si>
  <si>
    <t>Дефіцит крові</t>
  </si>
  <si>
    <t>ST36, SP6</t>
  </si>
  <si>
    <t>Стопа – селезінка</t>
  </si>
  <si>
    <t>Нижня</t>
  </si>
  <si>
    <t>Hara-Lower-Abdomen ≈60</t>
  </si>
  <si>
    <t>Підсилення ефекту</t>
  </si>
  <si>
    <t>Пальпаторна оцінка точки «Селезінка» дає лікарю попередній орієнтир на імунно-лімфоретикулярну активність та кровотворення як можливий коморбідний фон при «Анемія». Позитивна ознака (тканинна тугорухливість) — привід уточнити діагноз додатково: загальний аналіз крові, феритин, імунограма за показами. Пальпаторний тест не замінює лабораторно-інструментальну діагностику.</t>
  </si>
  <si>
    <t>Дефіцит Fe</t>
  </si>
  <si>
    <t>Трофічна</t>
  </si>
  <si>
    <t>Живіт (нижній Hara) + стопа</t>
  </si>
  <si>
    <t>CV6, SP6, проєкція SP на стопі</t>
  </si>
  <si>
    <t>Дефіцит крові (SP/KI); стимулювання гемопоезу та периферичної оксигенації.</t>
  </si>
  <si>
    <t>Під аплікатор: нейтральний УЗ‑гель; фармдомішок не додавати.</t>
  </si>
  <si>
    <t>Пероральне залізо 1×/добу або через день + віт. C; за непереносимості — внутрішньовенне залізо. Корекція причин дефіциту. За лікарем.</t>
  </si>
  <si>
    <t>Алое, календула</t>
  </si>
  <si>
    <t>Кропива, шпинат, буряк, шипшина</t>
  </si>
  <si>
    <t>Осьова: CV6 (зміцнює Ці, тонус і перистальтика); Локальна: Ashi (локальний вплив); Вегетативна: SP6 (SP/LR/KI, тазова/вегетативна регуляція); Фасціальна: SP9 (осушує Вологу, антинабрякова); Підтримуюча: ST36 (тонізує Ці/Кров, імуномодуляція); Рефлекторно‑кінцева: SP4 (активує Chong‑mai (з PC6), ШКТ)</t>
  </si>
  <si>
    <t>1) Сегменти великогомілкового/малогомілкового нервів · 2) Литковий м’яз: судоми й ахіллодинія · 3) Back-Shu Селезінки · 4) Hui-точка крові — гемодинамічна ланка · 5) Bai-hui та Yin-tang: базова антистрес-вегетативна пара · 6) Дистальна пара нижньої частини тіла; Су-Джок — відповідна зона на СТОПІ</t>
  </si>
  <si>
    <t>Аденома простати I–II</t>
  </si>
  <si>
    <t>Венозний застій</t>
  </si>
  <si>
    <t>KI, CV, BL</t>
  </si>
  <si>
    <t>Без обструкції</t>
  </si>
  <si>
    <t>Холод у нижньому обігрівачі</t>
  </si>
  <si>
    <t>CV3, BL32</t>
  </si>
  <si>
    <t>Стопа – простата</t>
  </si>
  <si>
    <t>Нижній Hara центральний: 6×8 ≈48</t>
  </si>
  <si>
    <t>Зменшення застою, підсилення мікроциркуляції</t>
  </si>
  <si>
    <t>Пальпаторна оцінка точки «Простата/сім'яні пухирці» дає лікарю попередній орієнтир на тазовий венозний та нервовий статус як можливий коморбідний фон при «Аденома простати I–II». Позитивна ознака (болючість при пальпації) — привід уточнити діагноз додатково: ПСА, УЗД передміхурової залози за показами. Пальпаторний тест не замінює лабораторно-інструментальну діагностику.</t>
  </si>
  <si>
    <t>Вік</t>
  </si>
  <si>
    <t>Венозна</t>
  </si>
  <si>
    <t>BL32, KI1</t>
  </si>
  <si>
    <t>Венозний застій малого таза; покращення мікроциркуляції та зменшення набряку простати.</t>
  </si>
  <si>
    <t>Осьова: CV4 (живить Інь, нижній обігрівач, урогенітальна регуляція); Локальна: CV4 (живить Інь, нижній обігрівач, урогенітальна регуляція); Вегетативна: CV4 (живить Інь, нижній обігрівач, урогенітальна регуляція); Фасціальна: SP9 (осушує Вологу, антинабрякова); Підтримуюча: BL58 (Luo UB — знімає тяжкість литки); Рефлекторно‑кінцева: BL21 (Back‑Shu Шлунка)</t>
  </si>
  <si>
    <t>1) Попереково-крижові сегменти тазового сплетення · 2) Тазове дно й сакро-глютеальна зона · 3) Back-Shu Сечового міхура — тазова проєкція · 4) Xue-hai — «море крові», рух застою крові й трофіка · 5) Bai-hui та Yin-tang: базова антистрес-вегетативна пара · 6) Дистальна пара нижньої частини тіла; Су-Джок — відповідна зона на СТОПІ</t>
  </si>
  <si>
    <t>DU, BL</t>
  </si>
  <si>
    <t>Модуляція ЦНС</t>
  </si>
  <si>
    <t>Полісегментарний</t>
  </si>
  <si>
    <t>DU20, BL40</t>
  </si>
  <si>
    <t>Універсальні</t>
  </si>
  <si>
    <t>Центральна вісь ≈80</t>
  </si>
  <si>
    <t>20–26</t>
  </si>
  <si>
    <t>Пальпаторна оцінка точки «Наднирники» дає лікарю попередній орієнтир на гіпоталамо-гіпофізарно-надниркова (HPA) вісь, стрес-реактивність і системне запалення як можливий коморбідний фон при «Хронічний біль». Позитивна ознака (підвищена чутливість/ущільнення в точці) — привід уточнити діагноз додатково: кортизол (ранковий/добовий ритм), АКТГ, електроліти. Пальпаторний тест не замінює лабораторно-інструментальну діагностику.</t>
  </si>
  <si>
    <t>Паравертебрально (вся вісь) + вухо</t>
  </si>
  <si>
    <t>Jiaji (ось), вушна аналгезія</t>
  </si>
  <si>
    <t>Центральна сенситизація; осьова теплова модуляція + аурикулярне гальмування болю.</t>
  </si>
  <si>
    <t>Осьова: CV6 (зміцнює Ці, тонус і перистальтика); Локальна: Ashi (локальний вплив); Вегетативна: SP6 (SP/LR/KI, тазова/вегетативна регуляція); Фасціальна: SP9 (осушує Вологу, антинабрякова); Підтримуюча: GV24 (заспокоює Шень, фронтальний біль); Рефлекторно‑кінцева: LI11 (He‑Sea LI — «очищує жар»)</t>
  </si>
  <si>
    <t>Дифузна</t>
  </si>
  <si>
    <t>LV, SP, DU</t>
  </si>
  <si>
    <t>Зниження сенситизації</t>
  </si>
  <si>
    <t>Системна</t>
  </si>
  <si>
    <t>Дисгармонія</t>
  </si>
  <si>
    <t>LV3, SP6</t>
  </si>
  <si>
    <t>Всі зони</t>
  </si>
  <si>
    <t>Паравертебральна ≈70</t>
  </si>
  <si>
    <t>22–28</t>
  </si>
  <si>
    <t>Нейро-ендокринна</t>
  </si>
  <si>
    <t>Регуляторна</t>
  </si>
  <si>
    <t>МФ-ланцюги</t>
  </si>
  <si>
    <t>МФ‑ланцюги + вегетативна</t>
  </si>
  <si>
    <t>GB34, Ashi‑лінії, CV17/парасимп. зона</t>
  </si>
  <si>
    <t>Дифузна больова сенситизація; фасціальний реліз із вегетативною стабілізацією.</t>
  </si>
  <si>
    <t>Осьова: CV6 (зміцнює Ці, тонус і перистальтика); Локальна: Ashi (локальний вплив); Вегетативна: SP6 (SP/LR/KI, тазова/вегетативна регуляція); Фасціальна: ST40 (перетворює слиз/флегму); Підтримуюча: GV24 (заспокоює Шень, фронтальний біль); Рефлекторно‑кінцева: BL60 (Jing‑River UB — «аспірин меридіанів», біль уздовж спини/шиї)</t>
  </si>
  <si>
    <t>Імунодефіцит (функц.)</t>
  </si>
  <si>
    <t>Гіпореактивність</t>
  </si>
  <si>
    <t>LU, ST, KI</t>
  </si>
  <si>
    <t>Імунна активація</t>
  </si>
  <si>
    <t>Вторинний</t>
  </si>
  <si>
    <t>Wei-Qi дефіцит</t>
  </si>
  <si>
    <t>ST36, LU9</t>
  </si>
  <si>
    <t>Долоня – імунна</t>
  </si>
  <si>
    <t>Абдомінально-грудна ≈80</t>
  </si>
  <si>
    <t>18–22</t>
  </si>
  <si>
    <t>Імунна підтримка</t>
  </si>
  <si>
    <t>Пальпаторна оцінка точки «Селезінка» дає лікарю попередній орієнтир на імунно-лімфоретикулярну активність та кровотворення як можливий коморбідний фон при «Імунодефіцит (функц.)». Позитивна ознака (тканинна тугорухливість) — привід уточнити діагноз додатково: загальний аналіз крові, феритин, імунограма за показами. Пальпаторний тест не замінює лабораторно-інструментальну діагностику.</t>
  </si>
  <si>
    <t>Хрон. стрес</t>
  </si>
  <si>
    <t>Грудина</t>
  </si>
  <si>
    <t>Грудина (тимічна зона) + вегетативна</t>
  </si>
  <si>
    <t>CV17/Thymus‑area, CV15/парасимп.</t>
  </si>
  <si>
    <t>Wei‑Qi/імунна гіпореактивність; активація імунної відповіді LU–ST–KI через центральну грудну зону.</t>
  </si>
  <si>
    <t>Ехінацея, часник, імбир, шипшина</t>
  </si>
  <si>
    <t>Осьова: CV6 (зміцнює Ці, тонус і перистальтика); Локальна: Ashi (локальний вплив); Вегетативна: SP6 (SP/LR/KI, тазова/вегетативна регуляція); Фасціальна: BL60 (Jing‑River UB — «аспірин меридіанів», біль уздовж спини/шиї); Підтримуюча: ST36 (тонізує Ці/Кров, імуномодуляція); Рефлекторно‑кінцева: LI11 (He‑Sea LI — «очищує жар»)</t>
  </si>
  <si>
    <t>1) Нижньогрудні сегменти — вегетативна інтеграція · 2) Трапеція й Gao-huang: генералізований міофасціальний патерн при хронізації · 3) Back-Shu Селезінки · 4) He-Sea LI — очищення жару, протизапальна ланка · 5) Gao-huang і Zhi-shi: класичні точки хронічного виснаження й «волі» · 6) «Чотири брами» (Si Guan) — системна регуляція; Су-Джок — кисть і стопа</t>
  </si>
  <si>
    <t>ЛЕГЕНДА ДО РОЗШИРЕНОГО ПРЕЦИЗІЙНОГО НАБОРУ (стовпці AK–AR)</t>
  </si>
  <si>
    <t>Призначення блоку</t>
  </si>
  <si>
    <t>Основні 6 точок (стовпці AC–AH) відповідають шести каналам моделі «6+1» і є базовим протоколом. Розширений набір (AK–AP) — це ДРУГА лінія прецизійного вибору: додаткові точки, кожна з яких представляє окрему сучасну наукову практику. Лікар застосовує їх для підсилення протоколу, заміни недоступної зони або при недостатній відповіді на базовий набір.</t>
  </si>
  <si>
    <t>1. Сегментарно-спінальна</t>
  </si>
  <si>
    <t>Точки Цзя-цзі (EX-B2) на рівні уражених сегментів або Back-Shu відповідного органа. Наукова база: сегментарна іннервація (дерматом–міотом–склеротом), вісцеро-соматичний рефлекс. Рівень сегмента визначено за клінічним регіоном нозології (стовпець AS).</t>
  </si>
  <si>
    <t>2. Міофасціально-тригерна</t>
  </si>
  <si>
    <t>Тригерна точка провідного м’яза регіону за Travell–Simons, узгоджена з міофасціальною лінією за Маєрсом. Обрано лише ті точки, що позначені в довіднику як типові тригерні зони.</t>
  </si>
  <si>
    <t>3. Нейролімфатично-вісцеральна</t>
  </si>
  <si>
    <t>КЛЮЧОВИЙ МІСТОК: діагностичну зону Чепмена (стовпець P) переведено у відповідну ТЕРАПЕВТИЧНУ точку ТКМ — Back-Shu або Front-Mu того самого органа. Тобто те, що лікар виявив пальпаторно ПЕРЕД сеансом, отримує конкретну точку впливу. Використано класичні відповідності ТКМ (напр., Печінка відкривається в очі → BL18 при очній патології; Нирки у вуха → BL23 при слухових розладах).</t>
  </si>
  <si>
    <t>4. Мікроциркуляторно-трофічна</t>
  </si>
  <si>
    <t>Ангіо-трофічна ланка: SP10 (Сюе-хай, «море крові») при застої й трофічних порушеннях; LI11 при запальному компоненті; GB34 (Hui-точка сухожиль) при фасціально-сухожильному спазмі; BL17 (Hui-точка крові) при гемодинамічних і грудних патернах.</t>
  </si>
  <si>
    <t>5. Психоемоційно-вегетативна</t>
  </si>
  <si>
    <t>Зовнішня лінія меридіана сечового міхура (BL42–BL52) — шар, що традиційно адресує емоційний компонент, і сучасні антистрес-точки. Дібрано за наявністю в нозології ПТСР, тривоги, депресії, інсомнії або виснаження. Для пацієнтів без психоемоційного компонента — базова пара GV20 + EX-HN3.</t>
  </si>
  <si>
    <t>6. Дистально-мікросистемна</t>
  </si>
  <si>
    <t>Голографічна відповідність: для верхньої частини тіла — LI4 + TE5 і зона на КИСТІ (Су-Джок); для нижньої — LR3 + GB41 і зона на СТОПІ; для системних станів — «Чотири брами» (LI4 + LR3). Метод балансу Тана застосовується як допоміжний елемент.</t>
  </si>
  <si>
    <t>Джерело точок</t>
  </si>
  <si>
    <t>Усі без винятку точки взято з довідника 232 точок ТКМ (лист «Довідник_зон_S-matrix»), де для кожної наведено локалізацію, режими застосування за модальностями та ЗАСТЕРЕЖЕННЯ ЩОДО БЕЗПЕКИ. Перед впливом обов’язково звіряйте точку із стовпцем застережень того листа (пневмоторакс, вагітність, судини, орбіта).</t>
  </si>
  <si>
    <t>Статус рекомендації</t>
  </si>
  <si>
    <t>Набір сформовано алгоритмічно за логікою, описаною вище, і є ДОВІДКОВОЮ пропозицією. Остаточний вибір, комбінацію та кількість зон визначає лікар індивідуально з урахуванням провідного синдрому, коморбідності й протипоказів.</t>
  </si>
  <si>
    <t>Зведена таблиця «6+1»: шість точок комплексної мультимодальної інтервенції (EMS + PEMF + LIPUS) та одна діагностична зона (нейролімфатичний рефлекс Чепмена) для 116 нозологій</t>
  </si>
  <si>
    <t>Джерело: Excel-ядро S-matrix, лист «Терапія_по_зонах» (стовпці «Осьова/Локальна/Вегетативна/Фасціальна/Підтримуюча/Рефлекторно-кінцева точка» та «Терапевтичні тригери Чепмена»). Зіставлення модальностей — за Розділом 2.3 Інструкції з експлуатації АПК «МАГНУЗ–МУФЛОН». Коди точок — за листом «Довідник_зон_S-matrix».</t>
  </si>
  <si>
    <t>6 ТОЧОК КОМПЛЕКСНОЇ МУЛЬТИМОДАЛЬНОЇ ІНТЕРВЕНЦІЇ  (EMS + PEMF + LIPUS)</t>
  </si>
  <si>
    <t>+1 ДІАГНОСТИЧНА ЗОНА (пальпація, передує акорду)</t>
  </si>
  <si>
    <t>EMS-1
осьова
(GV4/CV6/GV20)</t>
  </si>
  <si>
    <t>EMS-2
вегетативна
(SP6/PC6/HT7)</t>
  </si>
  <si>
    <t>PEMF-1
підтримуюча
(регіонарна)</t>
  </si>
  <si>
    <t>PEMF-2
рефлекторно-
дистальна</t>
  </si>
  <si>
    <t>LIPUS-1
локальна
(Ashi / осередок)</t>
  </si>
  <si>
    <t>LIPUS-2
фасціальна
(Маєрс/Тревелл)</t>
  </si>
  <si>
    <t>Орган-мішень
нейролімфатичний
рефлекс Чепмена</t>
  </si>
  <si>
    <t>Локалізація
передній рефлекс
(пальпація)</t>
  </si>
  <si>
    <t>Наднирники (Adrenal)</t>
  </si>
  <si>
    <t>передній рефлекс: білатерально ≈2 см латеральніше пупка, трохи нижче</t>
  </si>
  <si>
    <t>Нирки (Kidney)</t>
  </si>
  <si>
    <t>передній рефлекс: на рівні пупка вздовж краю прямого м'яза живота</t>
  </si>
  <si>
    <t>Серце (Heart)</t>
  </si>
  <si>
    <t>передній рефлекс: 2-е міжребер'я зліва біля грудини</t>
  </si>
  <si>
    <t>Печінка (Liver)</t>
  </si>
  <si>
    <t>передній рефлекс: 5–6-е міжребер'я справа</t>
  </si>
  <si>
    <t>Щитоподібна/паращитоподібні залози (Thyroid/Parathyroid)</t>
  </si>
  <si>
    <t>передній рефлекс: 2-е міжребер'я біля краю грудини</t>
  </si>
  <si>
    <t>Підшлункова залоза (Pancreas)</t>
  </si>
  <si>
    <t>передній рефлекс: 7-е міжребер'я зліва</t>
  </si>
  <si>
    <t>Легені, верхня частка (Lung, upper lobe)</t>
  </si>
  <si>
    <t>передній рефлекс: 3-є міжребер'я</t>
  </si>
  <si>
    <t>Легені, нижня частка (Lung, lower lobe)</t>
  </si>
  <si>
    <t>передній рефлекс: 4-е міжребер'я</t>
  </si>
  <si>
    <t>Шлунок (Stomach)</t>
  </si>
  <si>
    <t>передній рефлекс: 5-е міжребер'я зліва</t>
  </si>
  <si>
    <t>Тонкий кишківник (Small intestine)</t>
  </si>
  <si>
    <t>передній рефлекс: кілька точок навколопупкової ділянки по колу</t>
  </si>
  <si>
    <t>Простата/сім'яні пухирці (Prostate)</t>
  </si>
  <si>
    <t>передній рефлекс: верхня гілка лобкової кістки</t>
  </si>
  <si>
    <t>Матка/яєчники, широка зв'язка (Uterus/Ovary)</t>
  </si>
  <si>
    <t>передній рефлекс: бічно від лобкового симфізу (матка) / гребінь клубової кістки (яєчники)</t>
  </si>
  <si>
    <t>Очі (Eye)</t>
  </si>
  <si>
    <t>передній рефлекс: 2-е ребро біля грудини</t>
  </si>
  <si>
    <t>Селезінка (Spleen)</t>
  </si>
  <si>
    <t>передній рефлекс: 7-е міжребер'я зліва, латеральніше точки підшлункової</t>
  </si>
  <si>
    <t>Краніо-цервікальна (церебральна) вісь</t>
  </si>
  <si>
    <t>передній рефлекс: верхній край лобної кістки</t>
  </si>
  <si>
    <t>Вуха (Ear)</t>
  </si>
  <si>
    <t>передній рефлекс: 2-е ребро</t>
  </si>
  <si>
    <t>Навколоносові пазухи (Sinuses)</t>
  </si>
  <si>
    <t>передній рефлекс: ключиця</t>
  </si>
  <si>
    <t>Мигдалики/глотка (Tonsils/Pharynx)</t>
  </si>
  <si>
    <t>передній рефлекс: верхній край 1-го ребра/ключиці</t>
  </si>
  <si>
    <t>Товстий кишківник (Large intestine)</t>
  </si>
  <si>
    <t>передній рефлекс: проекційні точки по квадрантах живота (за ходом ободової кишки)</t>
  </si>
  <si>
    <t>Жовчний міхур (Gallbladder)</t>
  </si>
  <si>
    <t>передній рефлекс: 6-е міжребер'я справа</t>
  </si>
  <si>
    <t>Сечовий міхур (Bladder)</t>
  </si>
  <si>
    <t>передній рефлекс: ділянка лобкового симфізу</t>
  </si>
  <si>
    <t>ЛЕГЕНДА ТА МЕТОДОЛОГІЧНА ОСНОВА</t>
  </si>
  <si>
    <t>Схема «6+1»</t>
  </si>
  <si>
    <t>Шість терапевтичних точок опрацьовуються синхронним акордним впливом трьох модальностей (EMS — електростимуляція, PEMF — імпульсне електромагнітне поле, LIPUS — низькоінтенсивний ультразвук). Діагностична (+1) зона опрацьовується ПЕРЕД акордом — пальпаторно, без апаратного впливу.</t>
  </si>
  <si>
    <t>EMS-1 (осьова)</t>
  </si>
  <si>
    <t>Точковий електрод на осьову регуляторну точку (GV4/CV6/GV20 та ін.) — глибока сегментарна/системна регуляція.</t>
  </si>
  <si>
    <t>EMS-2 (вегетативна)</t>
  </si>
  <si>
    <t>Точковий електрод на точку вегетативної регуляції (SP6/PC6/HT7 та ін.) — симпато-парасимпатичний баланс.</t>
  </si>
  <si>
    <t>PEMF-1 (підтримуюча)</t>
  </si>
  <si>
    <t>Котушка на сегмент/суглоб/область — регіонарна трофіка й мікроциркуляція (акупунктура + Су-Джок).</t>
  </si>
  <si>
    <t>PEMF-2 (рефлекторно-дистальна)</t>
  </si>
  <si>
    <t>Котушка на дистальний сегмент (кисть/стопа) — рефлекторний вплив і соматотопія.</t>
  </si>
  <si>
    <t>LIPUS-1 (локальна)</t>
  </si>
  <si>
    <t>Гелевий контакт на Ashi-точку / зону максимального болю — локальна регенерація і знеболення в осередку.</t>
  </si>
  <si>
    <t>LIPUS-2 (фасціальна)</t>
  </si>
  <si>
    <t>Гелевий контакт на фасціальну/тригерну точку (лінії натягу за Маєрсом + Тревелл–Сімонс) — міофасціальне розвантаження.</t>
  </si>
  <si>
    <t>+1 Діагностична зона (Чепмен)</t>
  </si>
  <si>
    <t>Пальпація нейролімфатичного рефлексу Чепмена (орган-мішень) для провокаційного виявлення коморбідного вісцерального/ендокринного фону та уточнення етіологічної першопричини ПЕРЕД інтервенцією. Апаратний вплив на цю зону НЕ здійснюється.</t>
  </si>
  <si>
    <t>Інтеграція методик</t>
  </si>
  <si>
    <t>Вибір точок інтегрує: міофасціальні карти Маєрса (Anatomy Trains), нейролімфатику Чепмена, дистальні натиснення Шіа-Цу, розтирання Су-Джок, голковколювання з електростимуляцією ТКМ та легкий прогрів (мокса-репліка) — усі реалізовані комплексно-замінюючим впливом АПК замість ручних технік.</t>
  </si>
  <si>
    <t>Коди точок</t>
  </si>
  <si>
    <t>Розшифровку кодів точок (меридіан, анатомічний орієнтир у цунях, TCM-ефекти) наведено на листі «Довідник_зон_S-matrix».</t>
  </si>
  <si>
    <t>Таблиця є довідковою основою для лікаря. Остаточний вибір і адаптація зон здійснюються лікарем індивідуально з урахуванням провідного синдрому, коморбідності й протипоказів (Розділ 3.1 Інструкції).</t>
  </si>
  <si>
    <t>ДОВІДНИК ЗОН S-MATRIX — 232 основні точки ТКМ з режимами застосування за модальностями</t>
  </si>
  <si>
    <t>Meridian</t>
  </si>
  <si>
    <t>Point_Code</t>
  </si>
  <si>
    <t>Base_Reference</t>
  </si>
  <si>
    <t>Move_Along_cun</t>
  </si>
  <si>
    <t>Move_Across_cun</t>
  </si>
  <si>
    <t>Side</t>
  </si>
  <si>
    <t>Функціональна група</t>
  </si>
  <si>
    <t>Основні ефекти (TCM)</t>
  </si>
  <si>
    <t>Типові лікувальні функції</t>
  </si>
  <si>
    <t>МАСАЖ / АКУПРЕСУРА</t>
  </si>
  <si>
    <t>МАНУАЛЬНІ ТЕХНІКИ</t>
  </si>
  <si>
    <t>ГОЛКОВКОЛЮВАННЯ (глибина/напрямок)</t>
  </si>
  <si>
    <t>ПРИПАЛЮВАННЯ / ПРОГРІВ (мокса)</t>
  </si>
  <si>
    <t>ТРИГЕРНІ НАТИСНЕННЯ</t>
  </si>
  <si>
    <t>СУ-ДЖОК (відповідність)</t>
  </si>
  <si>
    <t>⚠ ЗАСТЕРЕЖЕННЯ / БЕЗПЕКА</t>
  </si>
  <si>
    <t>Проєкція</t>
  </si>
  <si>
    <t>X (від
сер. лінії)</t>
  </si>
  <si>
    <t>Y (від
підлоги)</t>
  </si>
  <si>
    <t>Висота
від підлоги, см</t>
  </si>
  <si>
    <t>Відступ від
сер. лінії, см</t>
  </si>
  <si>
    <t>▌ ЛЕГЕНІ (Lung)</t>
  </si>
  <si>
    <t>LU</t>
  </si>
  <si>
    <t>1 міжребер’я під ключицею</t>
  </si>
  <si>
    <t>bilateral</t>
  </si>
  <si>
    <t>Front‑Mu Легень</t>
  </si>
  <si>
    <t>Гострий кашель, біль грудної стінки</t>
  </si>
  <si>
    <t>Так — м’яке кругове розтирання/акупресура 30–60 с</t>
  </si>
  <si>
    <t>Лише м’які краніальні/позиційні техніки</t>
  </si>
  <si>
    <t>⚠ ЛИШЕ косо/тангенційно 0,5–0,8 цуня — ризик пневмотораксу</t>
  </si>
  <si>
    <t>Обережно — лише непряма, контроль температури шкіри</t>
  </si>
  <si>
    <t>Помірно — пальпується тугий тяж при перевантаженні</t>
  </si>
  <si>
    <t>Кисть: відповідна зона за системою «комаха/людина»</t>
  </si>
  <si>
    <t>⚠⚠ РИЗИК ПНЕВМОТОРАКСУ — глибокий вплив заборонено</t>
  </si>
  <si>
    <t>Передня</t>
  </si>
  <si>
    <t>LU2</t>
  </si>
  <si>
    <t>Підключична ямка, 6 цунів латерально від середньої лінії</t>
  </si>
  <si>
    <t>Опускає Ці Легень, розкриває груди</t>
  </si>
  <si>
    <t>Біль у плечі, кашель</t>
  </si>
  <si>
    <t>Міофасціальний реліз, розтягнення по лінії Маєрса</t>
  </si>
  <si>
    <t>LU3</t>
  </si>
  <si>
    <t>3 цуні нижче передньої пахвової складки, променевий край біцепса</t>
  </si>
  <si>
    <t>Опускає бунтівну Ці, зволожує Легені</t>
  </si>
  <si>
    <t>Носова кровотеча, задишка</t>
  </si>
  <si>
    <t>Так — глибокий пальцевий тиск по м’язу, 1–2 хв</t>
  </si>
  <si>
    <t>Перпендикулярно 0,5–1,0 цуня</t>
  </si>
  <si>
    <t>Так — непряма мокса/прогрів 10–15 хв</t>
  </si>
  <si>
    <t>—</t>
  </si>
  <si>
    <t>LU4</t>
  </si>
  <si>
    <t>4 цуні нижче передньої пахвової складки</t>
  </si>
  <si>
    <t>Регулює Ці Легень</t>
  </si>
  <si>
    <t>Біль по внутрішній поверхні плеча</t>
  </si>
  <si>
    <t>ліктьова складка, латеральна ямка</t>
  </si>
  <si>
    <t>He‑Sea Легень, очищення жару/флегми</t>
  </si>
  <si>
    <t>Кашель із флегмою</t>
  </si>
  <si>
    <t>Суглобова мобілізація, позиційний реліз</t>
  </si>
  <si>
    <t>Так — типова тригерна зона (Travell/Simons)</t>
  </si>
  <si>
    <t>LU6</t>
  </si>
  <si>
    <t>7 цунів вище зап’ясткової складки по лінії LU5–LU9</t>
  </si>
  <si>
    <t>Xi-cleft; зупиняє кровохаркання, гострий кашель</t>
  </si>
  <si>
    <t>Гострий бронхіт, кровохаркання</t>
  </si>
  <si>
    <t>над шилоподібним відростком radius</t>
  </si>
  <si>
    <t>Звільняє поверхню, відкриває Рен‑май, полегшує кашель/головний біль</t>
  </si>
  <si>
    <t>Застуда/кашель, головний біль (у поєднанні з LI4)</t>
  </si>
  <si>
    <t>Тангенційно (підшкірно) 0,3–0,5 цуня</t>
  </si>
  <si>
    <t>Ні — не є типовою тригерною точкою</t>
  </si>
  <si>
    <t>LU8</t>
  </si>
  <si>
    <t>1 цунь вище зап’ясткової складки, біля променевої артерії</t>
  </si>
  <si>
    <t>Jing-River; опускає Ці Легень</t>
  </si>
  <si>
    <t>Кашель, біль у зап’ясті</t>
  </si>
  <si>
    <t>Обмежено — лише легкий дотик (тонка тканина над кісткою)</t>
  </si>
  <si>
    <t>Мануальні техніки не застосовуються</t>
  </si>
  <si>
    <t>Перпендикулярно 0,3–0,5 цуня</t>
  </si>
  <si>
    <t>⚠ Магістральна судина/нерв поруч — уникати тиску й глибокого впливу</t>
  </si>
  <si>
    <t>LU9</t>
  </si>
  <si>
    <t>Зап’ясткова складка, латерально від променевої артерії</t>
  </si>
  <si>
    <t>Yuan-source; Hui-точка судин, тонізує Легені</t>
  </si>
  <si>
    <t>Астенія, слабкий пульс, кашель</t>
  </si>
  <si>
    <t>LU10</t>
  </si>
  <si>
    <t>Середина 1-ї п’ясткової кістки, межа «червоної й білої» шкіри</t>
  </si>
  <si>
    <t>Ying-spring; очищує жар Легень</t>
  </si>
  <si>
    <t>Біль у горлі, сухий кашель</t>
  </si>
  <si>
    <t>⚠ Ні — традиційно протипоказана в цій зоні</t>
  </si>
  <si>
    <t>LU11</t>
  </si>
  <si>
    <t>Променевий кут нігтьового ложа великого пальця</t>
  </si>
  <si>
    <t>Jing-well; невідкладне очищення жару</t>
  </si>
  <si>
    <t>Гострий тонзиліт, непритомність</t>
  </si>
  <si>
    <t>Поверхнево 0,1 цуня або мікроукол</t>
  </si>
  <si>
    <t>▌ ТОВСТА КИШКА (Large Intestine)</t>
  </si>
  <si>
    <t>LI</t>
  </si>
  <si>
    <t>LI1</t>
  </si>
  <si>
    <t>Променевий кут нігтя вказівного пальця</t>
  </si>
  <si>
    <t>Анальгетичні універсальні</t>
  </si>
  <si>
    <t>Jing-well; очищує жар, відновлює свідомість</t>
  </si>
  <si>
    <t>Біль у горлі, зубний біль</t>
  </si>
  <si>
    <t>LI2</t>
  </si>
  <si>
    <t>Дистально-променевий край 2-го п’ястково-фалангового суглоба</t>
  </si>
  <si>
    <t>Ying-spring; очищує жар</t>
  </si>
  <si>
    <t>Зубний біль, носова кровотеча</t>
  </si>
  <si>
    <t>LI3</t>
  </si>
  <si>
    <t>Проксимально від головки 2-ї п’ясткової кістки</t>
  </si>
  <si>
    <t>Shu-stream; розсіює вітер-жар</t>
  </si>
  <si>
    <t>Біль у пальцях, зубний біль</t>
  </si>
  <si>
    <t>тильна поверхня кисті між 1-ю та 2-ю п’ястками</t>
  </si>
  <si>
    <t>Руха Ці/Кров, виводить патоген із поверхні, універсальний анальгетик</t>
  </si>
  <si>
    <t>Головний/зубний біль, спазми обличчя; **обережно при вагітності**</t>
  </si>
  <si>
    <t>⚠⚠ ПРОТИПОКАЗАНА ПРИ ВАГІТНОСТІ</t>
  </si>
  <si>
    <t>LI5</t>
  </si>
  <si>
    <t>«Анатомічна табакерка» при відведенні великого пальця</t>
  </si>
  <si>
    <t>Jing-River; очищує жар, знімає біль зап’ястя</t>
  </si>
  <si>
    <t>Тендиніт де Кервена, біль зап’ястя</t>
  </si>
  <si>
    <t>LI6</t>
  </si>
  <si>
    <t>3 цуні вище LI5 по лінії LI5–LI11</t>
  </si>
  <si>
    <t>Luo-точка; регулює водний обмін</t>
  </si>
  <si>
    <t>Набряки, шум у вухах</t>
  </si>
  <si>
    <t>LI7</t>
  </si>
  <si>
    <t>5 цунів вище LI5</t>
  </si>
  <si>
    <t>Xi-cleft; гострий біль, кишкові спазми</t>
  </si>
  <si>
    <t>Гострий абдомінальний біль</t>
  </si>
  <si>
    <t>LI8</t>
  </si>
  <si>
    <t>4 цуні нижче LI11</t>
  </si>
  <si>
    <t>Регулює кишківник</t>
  </si>
  <si>
    <t>Абдомінальний біль</t>
  </si>
  <si>
    <t>Перпендикулярно 1,0–1,5 цуня</t>
  </si>
  <si>
    <t>LI9</t>
  </si>
  <si>
    <t>3 цуні нижче LI11</t>
  </si>
  <si>
    <t>Регулює кишківник, розслаблює сухожилля</t>
  </si>
  <si>
    <t>Парез руки, біль передпліччя</t>
  </si>
  <si>
    <t>LI10</t>
  </si>
  <si>
    <t>2 цуні нижче LI11 по лінії LI5–LI11</t>
  </si>
  <si>
    <t>Тонізує Ці, розслаблює сухожилля передпліччя</t>
  </si>
  <si>
    <t>Латеральний епікондиліт, слабкість руки</t>
  </si>
  <si>
    <t>Так — показана, зігрівальна дія (дефіцит/холод)</t>
  </si>
  <si>
    <t>ліктьова ямка при згинанні руки</t>
  </si>
  <si>
    <t>Мікроциркуляторні</t>
  </si>
  <si>
    <t>He‑Sea LI, очищення жару</t>
  </si>
  <si>
    <t>Лихоманка, дерматити</t>
  </si>
  <si>
    <t>LI12</t>
  </si>
  <si>
    <t>1 цунь проксимально-латерально від LI11, край плечової кістки</t>
  </si>
  <si>
    <t>Локальна для ліктя</t>
  </si>
  <si>
    <t>Епікондиліт, контрактура ліктя</t>
  </si>
  <si>
    <t>LI13</t>
  </si>
  <si>
    <t>3 цуні вище LI11</t>
  </si>
  <si>
    <t>Локальна, розсіює вузли</t>
  </si>
  <si>
    <t>Біль плеча</t>
  </si>
  <si>
    <t>LI14</t>
  </si>
  <si>
    <t>Місце прикріплення дельтоподібного м’яза, 7 цунів вище LI11</t>
  </si>
  <si>
    <t>Шийно‑плечовий сегмент</t>
  </si>
  <si>
    <t>Впливає на очі, розсіює вузли</t>
  </si>
  <si>
    <t>Періартрит плеча, очні симптоми</t>
  </si>
  <si>
    <t>перед акроміоном у ямці при відведенні руки</t>
  </si>
  <si>
    <t>Активує меридіан плеча, знімає скутість</t>
  </si>
  <si>
    <t>Плечовий періартрит, адгезивний капсуліт</t>
  </si>
  <si>
    <t>LI16</t>
  </si>
  <si>
    <t>Заглибина між акроміальним кінцем ключиці та остю лопатки</t>
  </si>
  <si>
    <t>Локальна для плечового пояса</t>
  </si>
  <si>
    <t>Біль надпліччя</t>
  </si>
  <si>
    <t>LI17</t>
  </si>
  <si>
    <t>Задній край m. SCM, 1 цунь нижче LI18</t>
  </si>
  <si>
    <t>Краніо‑вегетативні</t>
  </si>
  <si>
    <t>Опускає Ці, звільняє горло</t>
  </si>
  <si>
    <t>Дисфонія, біль у горлі</t>
  </si>
  <si>
    <t>LI18</t>
  </si>
  <si>
    <t>Рівень щитоподібного хряща, між двома головками m. SCM</t>
  </si>
  <si>
    <t>Звільняє горло, опускає бунтівну Ці</t>
  </si>
  <si>
    <t>Дисфонія, кашель</t>
  </si>
  <si>
    <t>Ні — тонка тканина над життєво важливою структурою</t>
  </si>
  <si>
    <t>LI19</t>
  </si>
  <si>
    <t>Під латеральним краєм ніздрі, рівень GV26</t>
  </si>
  <si>
    <t>Відкриває носові ходи</t>
  </si>
  <si>
    <t>Риніт, закладеність носа</t>
  </si>
  <si>
    <t>Обмежено — легкий дотик подушечкою пальця, без зсуву шкіри</t>
  </si>
  <si>
    <t>⚠ Ні — обличчя/близько до ока (ризик опіку, косметичний дефект)</t>
  </si>
  <si>
    <t>У носогубній борозні, латерально від крила носа</t>
  </si>
  <si>
    <t>Відкриває ніс, розсіює вітер</t>
  </si>
  <si>
    <t>Риніт, синусит, аносмія</t>
  </si>
  <si>
    <t>▌ ШЛУНОК (Stomach)</t>
  </si>
  <si>
    <t>ST</t>
  </si>
  <si>
    <t>ST1</t>
  </si>
  <si>
    <t>Між очним яблуком та нижнім краєм орбіти, по зіничній лінії</t>
  </si>
  <si>
    <t>Очищує очі, розсіює вітер</t>
  </si>
  <si>
    <t>Очні захворювання, сльозотеча</t>
  </si>
  <si>
    <t>⚠ Орбітальна ділянка — тиск на очне яблуко заборонено</t>
  </si>
  <si>
    <t>ST2</t>
  </si>
  <si>
    <t>1 цунь нижче ST1, у підочноямковому отворі</t>
  </si>
  <si>
    <t>Очищує очі</t>
  </si>
  <si>
    <t>Невралгія трійчастого нерва, тик</t>
  </si>
  <si>
    <t>ST3</t>
  </si>
  <si>
    <t>По зіничній лінії, рівень нижнього краю крила носа</t>
  </si>
  <si>
    <t>Розсіює вітер обличчя</t>
  </si>
  <si>
    <t>Невралгія трійчастого нерва, синусит</t>
  </si>
  <si>
    <t>ST4</t>
  </si>
  <si>
    <t>0,4 цуня латерально від кута рота</t>
  </si>
  <si>
    <t>Розсіює вітер, активує колатералі обличчя</t>
  </si>
  <si>
    <t>Парез лицевого нерва</t>
  </si>
  <si>
    <t>кут нижньої щелепи</t>
  </si>
  <si>
    <t>Жувальний мʼяз</t>
  </si>
  <si>
    <t>Бруксизм, невралгія V</t>
  </si>
  <si>
    <t>перед козелком, нижньощелепна ямка</t>
  </si>
  <si>
    <t>TMJ‑зона</t>
  </si>
  <si>
    <t>TMJ‑біль, оталгія</t>
  </si>
  <si>
    <t>ST8</t>
  </si>
  <si>
    <t>Кут лобно-скроневої лінії росту волосся, 4,5 цуня латерально від середньої лінії</t>
  </si>
  <si>
    <t>Розсіює вітер, полегшує головний біль</t>
  </si>
  <si>
    <t>Мігрень, скроневий біль</t>
  </si>
  <si>
    <t>ST9</t>
  </si>
  <si>
    <t>Рівень щитоподібного хряща, біля пульсації сонної артерії</t>
  </si>
  <si>
    <t>Вісцеро‑регуляторні</t>
  </si>
  <si>
    <t>Регулює Ці і Кров, АТ</t>
  </si>
  <si>
    <t>⚠ Лише фахівець, уникати артерії</t>
  </si>
  <si>
    <t>ST12</t>
  </si>
  <si>
    <t>Надключична ямка, 4 цуні латерально від середньої лінії</t>
  </si>
  <si>
    <t>Опускає Ці Легень</t>
  </si>
  <si>
    <t>Кашель, біль надпліччя</t>
  </si>
  <si>
    <t>ST18</t>
  </si>
  <si>
    <t>5-е міжребер’я, 4 цуні латерально від середньої лінії</t>
  </si>
  <si>
    <t>Розсіює застій у грудях</t>
  </si>
  <si>
    <t>Мастит, міжреброва невралгія</t>
  </si>
  <si>
    <t>ST21</t>
  </si>
  <si>
    <t>4 цуні вище пупка, 2 цуні латерально</t>
  </si>
  <si>
    <t>Гармонізує Шлунок</t>
  </si>
  <si>
    <t>Гастрит, диспепсія</t>
  </si>
  <si>
    <t>Перпендикулярно 0,8–1,5 цуня (порожній сечовий міхур)</t>
  </si>
  <si>
    <t>2 цуні латерально від пупка</t>
  </si>
  <si>
    <t>Front‑Mu товстої кишки</t>
  </si>
  <si>
    <t>СРК/коліт, запор/діарея</t>
  </si>
  <si>
    <t>ST28</t>
  </si>
  <si>
    <t>3 цуні нижче пупка, 2 цуні латерально</t>
  </si>
  <si>
    <t>Тазовий вегетативний</t>
  </si>
  <si>
    <t>Регулює водний обмін, нижній обігрівач</t>
  </si>
  <si>
    <t>Дизурія, дисменорея</t>
  </si>
  <si>
    <t>ST29</t>
  </si>
  <si>
    <t>4 цуні нижче пупка, 2 цуні латерально</t>
  </si>
  <si>
    <t>Зігріває нижній обігрівач</t>
  </si>
  <si>
    <t>Дисменорея, тазовий біль</t>
  </si>
  <si>
    <t>ST30</t>
  </si>
  <si>
    <t>5 цунів нижче пупка, 2 цуні латерально, біля стегнової артерії</t>
  </si>
  <si>
    <t>Регулює Чун-май</t>
  </si>
  <si>
    <t>Тазовий біль, урогенітальні розлади</t>
  </si>
  <si>
    <t>ST31</t>
  </si>
  <si>
    <t>Перетин лінії від передньої верхньої клубової ості з нижнім краєм лобкового симфізу</t>
  </si>
  <si>
    <t>Попереково‑крижовий</t>
  </si>
  <si>
    <t>Активує меридіан, розслаблює кульшовий суглоб</t>
  </si>
  <si>
    <t>Коксартроз, парез стегна</t>
  </si>
  <si>
    <t>Стопа: дзеркальна зона стандартної відповідності</t>
  </si>
  <si>
    <t>ST32</t>
  </si>
  <si>
    <t>6 цунів вище верхньолатерального краю надколінка</t>
  </si>
  <si>
    <t>Розслаблює квадрицепс</t>
  </si>
  <si>
    <t>Слабкість квадрицепса, біль коліна</t>
  </si>
  <si>
    <t>ST33</t>
  </si>
  <si>
    <t>3 цуні вище верхньолатерального краю надколінка</t>
  </si>
  <si>
    <t>Локальна для квадрицепса</t>
  </si>
  <si>
    <t>Слабкість/біль стегна</t>
  </si>
  <si>
    <t>ST34</t>
  </si>
  <si>
    <t>2 цуні вище верхньолатерального краю надколінка</t>
  </si>
  <si>
    <t>Xi-cleft; гострий біль шлунка й коліна</t>
  </si>
  <si>
    <t>Гострий гастралгічний біль, гоніт</t>
  </si>
  <si>
    <t>латеральна ямка під колінною чашечкою</t>
  </si>
  <si>
    <t>Локальна для коліна</t>
  </si>
  <si>
    <t>Біль/набряк коліна</t>
  </si>
  <si>
    <t>3 цуні нижче ST35 і 1 латерально від tibia</t>
  </si>
  <si>
    <t>Тонізує Ці/Кров, імуномодулює, покращує травлення</t>
  </si>
  <si>
    <t>Втома, імунодефіцит, диспепсія, біль колін</t>
  </si>
  <si>
    <t>ST37</t>
  </si>
  <si>
    <t>6 цунів нижче ST35</t>
  </si>
  <si>
    <t>Нижня He-точка товстої кишки</t>
  </si>
  <si>
    <t>Коліт, діарея</t>
  </si>
  <si>
    <t>ST38</t>
  </si>
  <si>
    <t>8 цунів нижче ST35</t>
  </si>
  <si>
    <t>Емпірична точка плеча (дистальна)</t>
  </si>
  <si>
    <t>Адгезивний капсуліт плеча</t>
  </si>
  <si>
    <t>ST39</t>
  </si>
  <si>
    <t>9 цунів нижче ST35</t>
  </si>
  <si>
    <t>Нижня He-точка тонкої кишки</t>
  </si>
  <si>
    <t>8 цунів над латеральною кісточкою</t>
  </si>
  <si>
    <t>Фасціально‑передній ланцюг</t>
  </si>
  <si>
    <t>Перетворює слиз/флегму</t>
  </si>
  <si>
    <t>Запаморочення/«флегма», тривога</t>
  </si>
  <si>
    <t>ST41</t>
  </si>
  <si>
    <t>Центр складки гомілковостопного суглоба, між сухожиллями</t>
  </si>
  <si>
    <t>Jing-River; очищує жар, локальна для щиколотки</t>
  </si>
  <si>
    <t>Тендиніт, набряк щиколотки</t>
  </si>
  <si>
    <t>ST42</t>
  </si>
  <si>
    <t>Найвища точка тилу стопи, біля пульсації тильної артерії</t>
  </si>
  <si>
    <t>Yuan-source; тонізує Шлунок</t>
  </si>
  <si>
    <t>Біль тилу стопи, парез стопи</t>
  </si>
  <si>
    <t>ST44</t>
  </si>
  <si>
    <t>Проксимально від перетинки між 2-м і 3-м пальцями стопи</t>
  </si>
  <si>
    <t>Ying-spring; очищує жар Шлунка</t>
  </si>
  <si>
    <t>Зубний біль, гастрит, лихоманка</t>
  </si>
  <si>
    <t>ST45</t>
  </si>
  <si>
    <t>Латеральний кут нігтя 2-го пальця стопи</t>
  </si>
  <si>
    <t>Jing-well; заспокоює Шень</t>
  </si>
  <si>
    <t>Безсоння, кошмари</t>
  </si>
  <si>
    <t>▌ СЕЛЕЗІНКА (Spleen)</t>
  </si>
  <si>
    <t>SP</t>
  </si>
  <si>
    <t>SP1</t>
  </si>
  <si>
    <t>Медіальний кут нігтя великого пальця стопи</t>
  </si>
  <si>
    <t>Jing-well; утримує Кров</t>
  </si>
  <si>
    <t>Мено/метрорагія, кошмари</t>
  </si>
  <si>
    <t>SP2</t>
  </si>
  <si>
    <t>Дистально-медіально від 1-го плесно-фалангового суглоба</t>
  </si>
  <si>
    <t>Ying-spring; зміцнює Селезінку</t>
  </si>
  <si>
    <t>Здуття, млявість</t>
  </si>
  <si>
    <t>SP3</t>
  </si>
  <si>
    <t>Проксимально-медіально від головки 1-ї плеснової кістки</t>
  </si>
  <si>
    <t>Yuan-source; тонізує Селезінку</t>
  </si>
  <si>
    <t>Диспепсія, втома</t>
  </si>
  <si>
    <t>медіальний край стопи під основою I плесни</t>
  </si>
  <si>
    <t>Активує Чун‑май, гармонізує ШКТ</t>
  </si>
  <si>
    <t>СРК/рефлюкс (з PC6)</t>
  </si>
  <si>
    <t>SP5</t>
  </si>
  <si>
    <t>Заглибина дистально-нижче медіальної кісточки</t>
  </si>
  <si>
    <t>Jing-River; локальна для щиколотки</t>
  </si>
  <si>
    <t>Розтягнення щиколотки</t>
  </si>
  <si>
    <t>3 цуні над медіальною кісточкою</t>
  </si>
  <si>
    <t>Антистрес‑вегетативні</t>
  </si>
  <si>
    <t>Гармонізує SP/LR/KI, заспокоює, тазові функції</t>
  </si>
  <si>
    <t>Дисменорея/ПМС, СРК, безсоння/тривога</t>
  </si>
  <si>
    <t>SP7</t>
  </si>
  <si>
    <t>6 цунів вище медіальної кісточки</t>
  </si>
  <si>
    <t>Осушує Вологу</t>
  </si>
  <si>
    <t>Тяжкість у ногах, здуття</t>
  </si>
  <si>
    <t>SP8</t>
  </si>
  <si>
    <t>3 цуні нижче SP9</t>
  </si>
  <si>
    <t>Xi-cleft; гострий гінекологічний біль</t>
  </si>
  <si>
    <t>Гостра дисменорея</t>
  </si>
  <si>
    <t>заглибина під медіальним виростком tibia</t>
  </si>
  <si>
    <t>Осушує Вологу, антинабряковий</t>
  </si>
  <si>
    <t>Набряки/лімфостаз, дизурія</t>
  </si>
  <si>
    <t>2 цуні над медіальним краєм надколінка</t>
  </si>
  <si>
    <t>Очищає/рухає Кров</t>
  </si>
  <si>
    <t>Варикоз, застій крові</t>
  </si>
  <si>
    <t>SP12</t>
  </si>
  <si>
    <t>Латерально від лобкового симфізу, вище пахвинної складки, латерально від артерії</t>
  </si>
  <si>
    <t>Регулює нижній обігрівач</t>
  </si>
  <si>
    <t>Пахвинний біль, тазовий застій</t>
  </si>
  <si>
    <t>4 цуні латерально від пупка</t>
  </si>
  <si>
    <t>Регуляція товстої кишки</t>
  </si>
  <si>
    <t>Запори/спастичні коліти</t>
  </si>
  <si>
    <t>SP21</t>
  </si>
  <si>
    <t>6-е міжребер’я по середній пахвовій лінії</t>
  </si>
  <si>
    <t>Великий Luo Селезінки; охоплює всі колатералі</t>
  </si>
  <si>
    <t>Дифузний біль у тілі, слабкість</t>
  </si>
  <si>
    <t>▌ СЕРЦЕ (Heart)</t>
  </si>
  <si>
    <t>HT</t>
  </si>
  <si>
    <t>HT1</t>
  </si>
  <si>
    <t>Центр пахвової ямки, біля пульсації артерії</t>
  </si>
  <si>
    <t>Розкриває груди</t>
  </si>
  <si>
    <t>Біль у грудях, парестезії руки</t>
  </si>
  <si>
    <t>HT2</t>
  </si>
  <si>
    <t>3 цуні вище HT3, у борозні медіально від біцепса</t>
  </si>
  <si>
    <t>Активує колатералі</t>
  </si>
  <si>
    <t>Біль медіальної поверхні плеча</t>
  </si>
  <si>
    <t>HT3</t>
  </si>
  <si>
    <t>Медіальний кінець ліктьової складки при згинанні</t>
  </si>
  <si>
    <t>He-Sea; заспокоює Шень</t>
  </si>
  <si>
    <t>Тривога, ліктьовий біль, тремор</t>
  </si>
  <si>
    <t>HT4</t>
  </si>
  <si>
    <t>1,5 цуня вище зап’ясткової складки, ліктьовий край</t>
  </si>
  <si>
    <t>Jing-River; заспокоює Шень</t>
  </si>
  <si>
    <t>Аритмія, тривога</t>
  </si>
  <si>
    <t>HT5</t>
  </si>
  <si>
    <t>1 цунь вище зап’ясткової складки, ліктьовий край</t>
  </si>
  <si>
    <t>Luo; впливає на мову й серцевий ритм</t>
  </si>
  <si>
    <t>Аритмія, афазія</t>
  </si>
  <si>
    <t>HT6</t>
  </si>
  <si>
    <t>0,5 цуня вище зап’ясткової складки, ліктьовий край</t>
  </si>
  <si>
    <t>Xi-cleft; зупиняє нічну пітливість</t>
  </si>
  <si>
    <t>Нічна пітливість, серцебиття</t>
  </si>
  <si>
    <t>ямка на променевому краї зап’ястя</t>
  </si>
  <si>
    <t>Заспокоює Шень</t>
  </si>
  <si>
    <t>Тривога, безсоння</t>
  </si>
  <si>
    <t>HT8</t>
  </si>
  <si>
    <t>Долоня, між 4-ю та 5-ю п’ястковими кістками</t>
  </si>
  <si>
    <t>Ying-spring; очищує жар Серця</t>
  </si>
  <si>
    <t>Долонний жар, тривога</t>
  </si>
  <si>
    <t>HT9</t>
  </si>
  <si>
    <t>Променевий кут нігтя мізинця</t>
  </si>
  <si>
    <t>Jing-well; відновлює свідомість</t>
  </si>
  <si>
    <t>Непритомність, паніка</t>
  </si>
  <si>
    <t>▌ ТОНКА КИШКА (Small Intestine)</t>
  </si>
  <si>
    <t>SI</t>
  </si>
  <si>
    <t>SI1</t>
  </si>
  <si>
    <t>Ліктьовий кут нігтя мізинця</t>
  </si>
  <si>
    <t>Jing-well; очищує жар</t>
  </si>
  <si>
    <t>Лактостаз, гострий тонзиліт</t>
  </si>
  <si>
    <t>Задня</t>
  </si>
  <si>
    <t>латеральний край кисті біля основи мізинця</t>
  </si>
  <si>
    <t>Відкриває Ду‑май, полегшує шийно‑спинний біль</t>
  </si>
  <si>
    <t>Шийний/спинний біль, невралгії</t>
  </si>
  <si>
    <t>SI4</t>
  </si>
  <si>
    <t>Ліктьовий край кисті, між основою 5-ї п’ясткової та трикутною кісткою</t>
  </si>
  <si>
    <t>Yuan-source; жовтяниця, локальна</t>
  </si>
  <si>
    <t>Біль зап’ястя</t>
  </si>
  <si>
    <t>SI5</t>
  </si>
  <si>
    <t>Ліктьовий край зап’ястя, між шилоподібним відростком ліктьової кістки і трикутною кісткою</t>
  </si>
  <si>
    <t>Jing-River; локальна</t>
  </si>
  <si>
    <t>Біль зап’ястя ліктьово</t>
  </si>
  <si>
    <t>SI6</t>
  </si>
  <si>
    <t>Ліктьовий бік передпліччя, у щілині головки ліктьової кістки</t>
  </si>
  <si>
    <t>Xi-cleft; гострий біль, зір</t>
  </si>
  <si>
    <t>Гострий біль плеча/спини</t>
  </si>
  <si>
    <t>SI7</t>
  </si>
  <si>
    <t>5 цунів вище SI5</t>
  </si>
  <si>
    <t>Luo; заспокоює Шень</t>
  </si>
  <si>
    <t>Тривога, біль ліктя</t>
  </si>
  <si>
    <t>SI8</t>
  </si>
  <si>
    <t>Між ліктьовим відростком і медіальним надвиростком</t>
  </si>
  <si>
    <t>He-Sea; локальна</t>
  </si>
  <si>
    <t>Ліктьовий неврит</t>
  </si>
  <si>
    <t>SI9</t>
  </si>
  <si>
    <t>1 цунь вище задньої пахвової складки</t>
  </si>
  <si>
    <t>Активує колатералі плеча</t>
  </si>
  <si>
    <t>Періартрит плеча</t>
  </si>
  <si>
    <t>SI10</t>
  </si>
  <si>
    <t>Прямо вище SI9, під остю лопатки</t>
  </si>
  <si>
    <t>Розсіює набряк плеча</t>
  </si>
  <si>
    <t>Біль і набряк плеча</t>
  </si>
  <si>
    <t>SI11</t>
  </si>
  <si>
    <t>Центр підостьової ямки лопатки</t>
  </si>
  <si>
    <t>Активує колатералі, розслаблює підостьовий м’яз</t>
  </si>
  <si>
    <t>Лопатковий біль, синдром ротаторів</t>
  </si>
  <si>
    <t>SI12</t>
  </si>
  <si>
    <t>Надостьова ямка, прямо вище SI11</t>
  </si>
  <si>
    <t>Локальна для надостьового м’яза</t>
  </si>
  <si>
    <t>Тендинопатія надостьового м’яза</t>
  </si>
  <si>
    <t>SI13</t>
  </si>
  <si>
    <t>Медіальний кінець надостьової ямки</t>
  </si>
  <si>
    <t>Біль лопатки</t>
  </si>
  <si>
    <t>3 цуні латерально від T1</t>
  </si>
  <si>
    <t>Релаксує перикапсулярні тканини лопатки</t>
  </si>
  <si>
    <t>Лопаткова міофасціальна болючість</t>
  </si>
  <si>
    <t>2 цуні латерально від C7</t>
  </si>
  <si>
    <t>Знімає напругу паравертебрально C7–T1</t>
  </si>
  <si>
    <t>Шийна паравертебральна болючість</t>
  </si>
  <si>
    <t>SI16</t>
  </si>
  <si>
    <t>Задній край m. SCM, рівень щитоподібного хряща</t>
  </si>
  <si>
    <t>Відкриває вухо, звільняє горло</t>
  </si>
  <si>
    <t>Шум у вухах, дисфонія</t>
  </si>
  <si>
    <t>позаду козелка при відкритому роті</t>
  </si>
  <si>
    <t>Отіт/зниження слуху</t>
  </si>
  <si>
    <t>▌ СЕЧОВИЙ МІХУР (Bladder)</t>
  </si>
  <si>
    <t>BL</t>
  </si>
  <si>
    <t>BL1</t>
  </si>
  <si>
    <t>Медіальний кут ока, 0,1 цуня</t>
  </si>
  <si>
    <t>Очні захворювання</t>
  </si>
  <si>
    <t>⚠ Лише фахівець, без маніпуляції голкою</t>
  </si>
  <si>
    <t>BL2</t>
  </si>
  <si>
    <t>Медіальний кінець брови, надочноямкова вирізка</t>
  </si>
  <si>
    <t>Розсіює вітер, полегшує фронтальний біль</t>
  </si>
  <si>
    <t>Фронтальний головний біль, синусит</t>
  </si>
  <si>
    <t>під основою черепа, латерально від GV15</t>
  </si>
  <si>
    <t>Заспокоює вітер у потилиці, розслаблює шию</t>
  </si>
  <si>
    <t>Шийний міофасціальний біль, запаморочення</t>
  </si>
  <si>
    <t>BL11</t>
  </si>
  <si>
    <t>1,5 цуня латерально від Th1</t>
  </si>
  <si>
    <t>Фасціально‑задній ланцюг</t>
  </si>
  <si>
    <t>Hui-точка кісток</t>
  </si>
  <si>
    <t>Остеопороз, ригідність шиї</t>
  </si>
  <si>
    <t>BL12</t>
  </si>
  <si>
    <t>1,5 цуня латерально від Th2</t>
  </si>
  <si>
    <t>«Ворота вітру»; розсіює зовнішній вітер</t>
  </si>
  <si>
    <t>Часті ГРВІ, ригідність шиї</t>
  </si>
  <si>
    <t>Back-Shu легень (T3)</t>
  </si>
  <si>
    <t>Регулює Легені, розсіює вітер/холод</t>
  </si>
  <si>
    <t>Бронхіт/астма</t>
  </si>
  <si>
    <t>BL14</t>
  </si>
  <si>
    <t>Back-Shu — паравертебрально, 1,5 цуня від середньої лінії (Th4) — Back-Shu перикарда</t>
  </si>
  <si>
    <t>Регулює Серце</t>
  </si>
  <si>
    <t>Кардіоневроз</t>
  </si>
  <si>
    <t>Back-Shu серця (T5)</t>
  </si>
  <si>
    <t>Тонізує Серце, заспокоює Шень</t>
  </si>
  <si>
    <t>Кардіоневрози, безсоння</t>
  </si>
  <si>
    <t>Back-Shu крові (T7)</t>
  </si>
  <si>
    <t>Hui‑Meeting Крові</t>
  </si>
  <si>
    <t>Стази крові, міжлопатковий біль</t>
  </si>
  <si>
    <t>Back-Shu — паравертебрально, 1,5 цуня від середньої лінії (Th9) — Back-Shu Печінки</t>
  </si>
  <si>
    <t>Регулює Печінку, знімає застій Ці</t>
  </si>
  <si>
    <t>Дратівливість, гепатопатії</t>
  </si>
  <si>
    <t>1,5 цуня латерально від Th10 — Back-Shu жовчного міхура</t>
  </si>
  <si>
    <t>Регулює жовчний міхур</t>
  </si>
  <si>
    <t>Гіркота в роті, дратівливість</t>
  </si>
  <si>
    <t>Back-Shu — паравертебрально, 1,5 цуня від середньої лінії (Th11) — Back-Shu Селезінки</t>
  </si>
  <si>
    <t>Тонізує Селезінку</t>
  </si>
  <si>
    <t>Диспепсія, хронічна втома</t>
  </si>
  <si>
    <t>Back-Shu шлунка (T12)</t>
  </si>
  <si>
    <t>Back‑Shu Шлунка</t>
  </si>
  <si>
    <t>Гастрит, ФД</t>
  </si>
  <si>
    <t>BL22</t>
  </si>
  <si>
    <t>1,5 цуня латерально від L1 — Back-Shu потрійного обігрівача</t>
  </si>
  <si>
    <t>Регулює водний обмін</t>
  </si>
  <si>
    <t>Набряки, здуття</t>
  </si>
  <si>
    <t>Back-Shu нирок (L2)</t>
  </si>
  <si>
    <t>Тонізує Нирки, зміцнює поперек</t>
  </si>
  <si>
    <t>Люмбалгія, астенія «ниркового» типу</t>
  </si>
  <si>
    <t>BL24</t>
  </si>
  <si>
    <t>1,5 цуня латерально від L3</t>
  </si>
  <si>
    <t>Зміцнює поперек, регулює Ці</t>
  </si>
  <si>
    <t>Люмбалгія</t>
  </si>
  <si>
    <t>Back-Shu товстої кишки (L4)</t>
  </si>
  <si>
    <t>Регулює товсту кишку, спазм паравертебральних мʼязів</t>
  </si>
  <si>
    <t>Запори/коліти, люмбалгія</t>
  </si>
  <si>
    <t>BL26</t>
  </si>
  <si>
    <t>1,5 цуня латерально від L5</t>
  </si>
  <si>
    <t>Зміцнює поперек</t>
  </si>
  <si>
    <t>S1 +1.5 цуні латерально</t>
  </si>
  <si>
    <t>Регуляризація товстої кишки/сакральної зони</t>
  </si>
  <si>
    <t>Коліт/тенезми</t>
  </si>
  <si>
    <t>Back-Shu сечового міхура (S2)</t>
  </si>
  <si>
    <t>Back‑Shu Сечового міхура</t>
  </si>
  <si>
    <t>Цистит/часте сечовипускання</t>
  </si>
  <si>
    <t>BL31</t>
  </si>
  <si>
    <t>1-й крижовий отвір</t>
  </si>
  <si>
    <t>Регуляція сакральних сплетень</t>
  </si>
  <si>
    <t>2-й крижовий отвір</t>
  </si>
  <si>
    <t>Кокцигодинія, дисменорея</t>
  </si>
  <si>
    <t>BL33</t>
  </si>
  <si>
    <t>3-й крижовий отвір</t>
  </si>
  <si>
    <t>Тазова іннервація</t>
  </si>
  <si>
    <t>Тазовий біль, дизурія</t>
  </si>
  <si>
    <t>задня поверхня стегна, центр глютео-феморальної лінії</t>
  </si>
  <si>
    <t>Ішіалгія/задня поверхня стегна</t>
  </si>
  <si>
    <t>Ішіалгія</t>
  </si>
  <si>
    <t>BL37</t>
  </si>
  <si>
    <t>6 цунів нижче BL36 по задній поверхні стегна</t>
  </si>
  <si>
    <t>Активує колатералі стегна</t>
  </si>
  <si>
    <t>Ішіалгія, біль хамстрингів</t>
  </si>
  <si>
    <t>BL39</t>
  </si>
  <si>
    <t>Латеральний кінець підколінної складки, медіально від сухожилля біцепса стегна</t>
  </si>
  <si>
    <t>Нижня He-точка потрійного обігрівача</t>
  </si>
  <si>
    <t>Дизурія, набряки, біль коліна</t>
  </si>
  <si>
    <t>центр підколінної складки</t>
  </si>
  <si>
    <t>Охолоджує кров, знеболює поперек/ногу</t>
  </si>
  <si>
    <t>Люмбо‑ішіалгія, коліно, дерматози «жару крові»</t>
  </si>
  <si>
    <t>BL42</t>
  </si>
  <si>
    <t>3 цуні латерально від середньої лінії (зовнішня лінія меридіана BL) на рівні Th3</t>
  </si>
  <si>
    <t>«Обитель По»; впливає на дихальний і емоційний компонент</t>
  </si>
  <si>
    <t>Хронічний кашель, смуток/пригніченість</t>
  </si>
  <si>
    <t>BL43</t>
  </si>
  <si>
    <t>3 цуні латерально від середньої лінії (зовнішня лінія меридіана BL) на рівні Th4</t>
  </si>
  <si>
    <t>Класична точка при хронічному виснаженні</t>
  </si>
  <si>
    <t>Хронічна втома, виснаження, астенія</t>
  </si>
  <si>
    <t>BL44</t>
  </si>
  <si>
    <t>3 цуні латерально від середньої лінії (зовнішня лінія меридіана BL) на рівні Th5</t>
  </si>
  <si>
    <t>«Зала Шень»; заспокоює дух</t>
  </si>
  <si>
    <t>Тривога, серцебиття, безсоння</t>
  </si>
  <si>
    <t>BL47</t>
  </si>
  <si>
    <t>3 цуні латерально від середньої лінії (зовнішня лінія меридіана BL) на рівні Th9</t>
  </si>
  <si>
    <t>«Ворота Хунь»; емоційний аспект Печінки</t>
  </si>
  <si>
    <t>Дратівливість, нічні жахи, ПТСР-компонент</t>
  </si>
  <si>
    <t>BL49</t>
  </si>
  <si>
    <t>3 цуні латерально від середньої лінії (зовнішня лінія меридіана BL) на рівні Th11</t>
  </si>
  <si>
    <t>Емоційний аспект Селезінки (нав’язливі думки)</t>
  </si>
  <si>
    <t>Румінація, тривожні думки</t>
  </si>
  <si>
    <t>BL52</t>
  </si>
  <si>
    <t>3 цуні латерально від середньої лінії (зовнішня лінія меридіана BL) на рівні L2</t>
  </si>
  <si>
    <t>«Обитель волі»; емоційний аспект Нирок (страх)</t>
  </si>
  <si>
    <t>Страх, виснаження, люмбалгія</t>
  </si>
  <si>
    <t>верх сідничної борозни</t>
  </si>
  <si>
    <t>Сакро‑глютеальний біль</t>
  </si>
  <si>
    <t>BL56</t>
  </si>
  <si>
    <t>Центр черевця литкового м’яза, 5 цунів нижче BL40</t>
  </si>
  <si>
    <t>Розслаблює литковий м’яз</t>
  </si>
  <si>
    <t>Судоми литки</t>
  </si>
  <si>
    <t>литка: центр зони між gastrocnemius</t>
  </si>
  <si>
    <t>Гастроцнеміус, геморой</t>
  </si>
  <si>
    <t>Геморой, судоми литки</t>
  </si>
  <si>
    <t>7 цунів над BL60</t>
  </si>
  <si>
    <t>Luo‑точка: біль/тяжкість гомілки</t>
  </si>
  <si>
    <t>Біль литки/ахіла</t>
  </si>
  <si>
    <t>BL59</t>
  </si>
  <si>
    <t>3 цуні вище BL60</t>
  </si>
  <si>
    <t>Xi-cleft Ян-цяо-май</t>
  </si>
  <si>
    <t>Біль ахілла, латеральний біль гомілки</t>
  </si>
  <si>
    <t>борозна між ахілом і латеральною кісточкою</t>
  </si>
  <si>
    <t>Jing‑River UB; біль уздовж спини/шиї</t>
  </si>
  <si>
    <t>Цервікалгія/люмбалгія, потиличний біль</t>
  </si>
  <si>
    <t>ямка під латеральною кісточкою</t>
  </si>
  <si>
    <t>Відкриває Ян‑цяо‑май</t>
  </si>
  <si>
    <t>Біль зовнішньої кісточки/стопи, безсоння при надлишку ян</t>
  </si>
  <si>
    <t>BL63</t>
  </si>
  <si>
    <t>Передньо-нижче BL62, під кубоподібною кісткою</t>
  </si>
  <si>
    <t>Xi-cleft; гострий біль</t>
  </si>
  <si>
    <t>Гострий біль стопи, судоми</t>
  </si>
  <si>
    <t>BL67</t>
  </si>
  <si>
    <t>Латеральний кут нігтя 5-го пальця стопи</t>
  </si>
  <si>
    <t>Jing-well; класична для корекції положення плода</t>
  </si>
  <si>
    <t>Головний біль, тазові симптоми</t>
  </si>
  <si>
    <t>▌ НИРКИ (Kidney)</t>
  </si>
  <si>
    <t>KI</t>
  </si>
  <si>
    <t>центр підошви, 1/3 від п’яти</t>
  </si>
  <si>
    <t>Опускає надлишковий ян, заземлює</t>
  </si>
  <si>
    <t>«Жар у голові», непритомність/припливи</t>
  </si>
  <si>
    <t>KI2</t>
  </si>
  <si>
    <t>Нижче горбка човноподібної кістки</t>
  </si>
  <si>
    <t>Нічна пітливість, дизурія</t>
  </si>
  <si>
    <t>заглибина між ахілом і внутрішньою кісточкою</t>
  </si>
  <si>
    <t>Тонізує Інь/Ян Нирок</t>
  </si>
  <si>
    <t>Люмбалгія, щиколотка, безсоння</t>
  </si>
  <si>
    <t>KI4</t>
  </si>
  <si>
    <t>Позаду й нижче KI3, біля прикріплення ахіллового сухожилля</t>
  </si>
  <si>
    <t>Luo; зміцнює волю</t>
  </si>
  <si>
    <t>Ахіллодинія, тривожність</t>
  </si>
  <si>
    <t>KI5</t>
  </si>
  <si>
    <t>1 цунь нижче KI3</t>
  </si>
  <si>
    <t>ямка під внутрішньою кісточкою</t>
  </si>
  <si>
    <t>Живить Інь Нирок, пом’якшує горло/сон</t>
  </si>
  <si>
    <t>Безсоння, сухість горла, тазові симптоми</t>
  </si>
  <si>
    <t>KI7</t>
  </si>
  <si>
    <t>2 цуні вище KI3</t>
  </si>
  <si>
    <t>Тонізує ян Нирок, регулює потовиділення</t>
  </si>
  <si>
    <t>Набряки, нічна пітливість</t>
  </si>
  <si>
    <t>KI9</t>
  </si>
  <si>
    <t>5 цунів вище KI3, на медіальній головці литкового м’яза</t>
  </si>
  <si>
    <t>Xi-cleft Інь-вей-май; заспокоює Шень</t>
  </si>
  <si>
    <t>Тривога, детоксикація</t>
  </si>
  <si>
    <t>KI10</t>
  </si>
  <si>
    <t>Медіальний кінець підколінної складки, між сухожиллями</t>
  </si>
  <si>
    <t>He-Sea; живить Інь Нирок</t>
  </si>
  <si>
    <t>Дизурія, біль коліна медіально</t>
  </si>
  <si>
    <t>KI27</t>
  </si>
  <si>
    <t>Нижній край ключиці, 2 цуні латерально від середньої лінії</t>
  </si>
  <si>
    <t>Опускає бунтівну Ці</t>
  </si>
  <si>
    <t>Кашель, задишка</t>
  </si>
  <si>
    <t>▌ ПЕРИКАРД (Pericardium)</t>
  </si>
  <si>
    <t>PC</t>
  </si>
  <si>
    <t>PC1</t>
  </si>
  <si>
    <t>1 цунь латерально від соска, 4-е міжребер’я</t>
  </si>
  <si>
    <t>Біль у грудях, лактостаз</t>
  </si>
  <si>
    <t>PC3</t>
  </si>
  <si>
    <t>Ліктьова складка, ліктьовий край сухожилля біцепса</t>
  </si>
  <si>
    <t>He-Sea; очищує жар Серця</t>
  </si>
  <si>
    <t>Тремор, біль у грудях</t>
  </si>
  <si>
    <t>PC4</t>
  </si>
  <si>
    <t>5 цунів вище зап’ясткової складки, між сухожиллями</t>
  </si>
  <si>
    <t>Xi-cleft; гострий кардіальний біль</t>
  </si>
  <si>
    <t>Гострий біль у грудях, аритмія</t>
  </si>
  <si>
    <t>PC5</t>
  </si>
  <si>
    <t>3 цуні вище зап’ясткової складки, між сухожиллями</t>
  </si>
  <si>
    <t>Jing-River; перетворює флегму, заспокоює</t>
  </si>
  <si>
    <t>Тривога, нудота, аритмія</t>
  </si>
  <si>
    <t>2 цуня над зап’ястковою складкою між сухожиллями</t>
  </si>
  <si>
    <t>Розкриває грудну клітку, гармонізує ШКТ, заспокоює Шень</t>
  </si>
  <si>
    <t>Нудота/рефлюкс, тривога, біль у грудях/аритмії</t>
  </si>
  <si>
    <t>зап’ястна складка по центру</t>
  </si>
  <si>
    <t>Заспокоює Шень, внутрішній жар у серці</t>
  </si>
  <si>
    <t>Тривога/панічні, долонний жар</t>
  </si>
  <si>
    <t>PC8</t>
  </si>
  <si>
    <t>Центр долоні, між 2-ю та 3-ю п’ястковими кістками</t>
  </si>
  <si>
    <t>Долонний жар, стрес</t>
  </si>
  <si>
    <t>PC9</t>
  </si>
  <si>
    <t>Центр кінчика середнього пальця</t>
  </si>
  <si>
    <t>Непритомність, тепловий удар</t>
  </si>
  <si>
    <t>▌ ПОТРІЙНИЙ ОБІГРІВАЧ (Triple Energizer)</t>
  </si>
  <si>
    <t>TE</t>
  </si>
  <si>
    <t>TE3</t>
  </si>
  <si>
    <t>Тил кисті, між 4-ю та 5-ю п’ястковими кістками</t>
  </si>
  <si>
    <t>Shu-stream; звільняє Shaoyang</t>
  </si>
  <si>
    <t>Шум у вухах, цервікалгія, головний біль</t>
  </si>
  <si>
    <t>TE4</t>
  </si>
  <si>
    <t>Заглибина на тильній складці зап’ястя</t>
  </si>
  <si>
    <t>Yuan-source; локальна</t>
  </si>
  <si>
    <t>Біль зап’ястя, тендиніт</t>
  </si>
  <si>
    <t>2 цуні над дорсальною складкою зап’ястя</t>
  </si>
  <si>
    <t>Звільняє зовнішнє, Shaoyang</t>
  </si>
  <si>
    <t>Цервікалгія/головний біль Shaoyang, епікондиліт</t>
  </si>
  <si>
    <t>TE6</t>
  </si>
  <si>
    <t>3 цуні вище тильної складки зап’ястя</t>
  </si>
  <si>
    <t>Регулює Ці, класична при запорах</t>
  </si>
  <si>
    <t>Запори, міжреброва невралгія</t>
  </si>
  <si>
    <t>TE8</t>
  </si>
  <si>
    <t>4 цуні вище тильної складки зап’ястя, між кістками</t>
  </si>
  <si>
    <t>Перетин трьох ян</t>
  </si>
  <si>
    <t>Біль передпліччя, раптова афонія</t>
  </si>
  <si>
    <t>TE10</t>
  </si>
  <si>
    <t>1 цунь вище ліктьового відростка при зігнутому лікті</t>
  </si>
  <si>
    <t>He-Sea; розсіює вузли</t>
  </si>
  <si>
    <t>Ліктьовий біль, лімфаденопатія</t>
  </si>
  <si>
    <t>ямка позаду акроміона</t>
  </si>
  <si>
    <t>Зменшує запалення плеча, покращує ковзання сухожиль</t>
  </si>
  <si>
    <t>Тендопатії ротаторів, бурсити</t>
  </si>
  <si>
    <t>TE15</t>
  </si>
  <si>
    <t>Середина між GB21 і SI13, верхній кут лопатки</t>
  </si>
  <si>
    <t>Локальна для надпліччя</t>
  </si>
  <si>
    <t>Біль надпліччя, скутість шиї</t>
  </si>
  <si>
    <t>TE17</t>
  </si>
  <si>
    <t>Заглибина між соскоподібним відростком і кутом щелепи</t>
  </si>
  <si>
    <t>Відкриває вухо, розсіює вітер</t>
  </si>
  <si>
    <t>Парез лицевого нерва, шум у вухах</t>
  </si>
  <si>
    <t>TE21</t>
  </si>
  <si>
    <t>Перед вирізкою вушної раковини, вище SI19</t>
  </si>
  <si>
    <t>Відкриває вухо</t>
  </si>
  <si>
    <t>Шум у вухах, оталгія</t>
  </si>
  <si>
    <t>TE23</t>
  </si>
  <si>
    <t>Заглибина біля латерального кінця брови</t>
  </si>
  <si>
    <t>Розсіює вітер, очищує очі</t>
  </si>
  <si>
    <t>Скроневий головний біль, очні симптоми</t>
  </si>
  <si>
    <t>▌ ЖОВЧНИЙ МІХУР (Gallbladder)</t>
  </si>
  <si>
    <t>GB</t>
  </si>
  <si>
    <t>GB1</t>
  </si>
  <si>
    <t>0,5 цуня латерально від зовнішнього кута ока</t>
  </si>
  <si>
    <t>Мігрень, очні симптоми</t>
  </si>
  <si>
    <t>Бічна</t>
  </si>
  <si>
    <t>перед козелком вуха</t>
  </si>
  <si>
    <t>Оталгія/шум</t>
  </si>
  <si>
    <t>GB8</t>
  </si>
  <si>
    <t>1,5 цуня вище верхівки вуха</t>
  </si>
  <si>
    <t>Розсіює вітер у скроні</t>
  </si>
  <si>
    <t>Скронева мігрень</t>
  </si>
  <si>
    <t>GB12</t>
  </si>
  <si>
    <t>Заглибина позаду й нижче соскоподібного відростка</t>
  </si>
  <si>
    <t>Розсіює вітер, заспокоює</t>
  </si>
  <si>
    <t>Потиличний головний біль, безсоння</t>
  </si>
  <si>
    <t>над бровою по вертикалі зі зіницею</t>
  </si>
  <si>
    <t>Фронтальна зона/очі</t>
  </si>
  <si>
    <t>Фронтальна мігрень/риніт</t>
  </si>
  <si>
    <t>потилична ямка між m. SCM та m. trapezius</t>
  </si>
  <si>
    <t>Розсіює вітер, звільняє голову/очі, знімає спазм шийних м’язів</t>
  </si>
  <si>
    <t>Мігрень, цервікалгія, ригідність шиї, очні симптоми</t>
  </si>
  <si>
    <t>⚠ Косо до кінчика носа 0,5–0,8 цуня</t>
  </si>
  <si>
    <t>верх трапеції, середина лінії GV14–акроміон</t>
  </si>
  <si>
    <t>Розсіює застій у трапеції/плечі, опускає Ці</t>
  </si>
  <si>
    <t>Плече/трапеція, лактостаз; **обережно при вагітності**</t>
  </si>
  <si>
    <t>GB24</t>
  </si>
  <si>
    <t>7-е міжребер’я, нижче LR14</t>
  </si>
  <si>
    <t>Front-Mu жовчного міхура</t>
  </si>
  <si>
    <t>Гіркота в роті, підребер’я</t>
  </si>
  <si>
    <t>GB25</t>
  </si>
  <si>
    <t>Вільний кінець 12-го ребра</t>
  </si>
  <si>
    <t>Front-Mu Нирок</t>
  </si>
  <si>
    <t>Люмбалгія, набряки</t>
  </si>
  <si>
    <t>GB26</t>
  </si>
  <si>
    <t>Вільний кінець 11-го ребра, рівень пупка</t>
  </si>
  <si>
    <t>Регулює Дай-май (оперізуючий)</t>
  </si>
  <si>
    <t>Оперізуючий біль попереку, тазовий застій</t>
  </si>
  <si>
    <t>GB29</t>
  </si>
  <si>
    <t>Середина між передньою верхньою клубовою остю і великим вертлюгом</t>
  </si>
  <si>
    <t>Локальна для кульшового суглоба</t>
  </si>
  <si>
    <t>Коксартроз, біль стегна</t>
  </si>
  <si>
    <t>сідниця: латеральна третина лінії trochanter–sacrum</t>
  </si>
  <si>
    <t>Знімає сідничний/радикулітний біль</t>
  </si>
  <si>
    <t>Ішіалгія, радикулопатія L5‑S1</t>
  </si>
  <si>
    <t>Перпендикулярно 1,5–2,5 цуня (глибокий м’яз)</t>
  </si>
  <si>
    <t>GB31</t>
  </si>
  <si>
    <t>Латеральна поверхня стегна, де сягає кінчик середнього пальця при вільно опущеній руці</t>
  </si>
  <si>
    <t>Розсіює вітер, розслаблює ІТ-тракт</t>
  </si>
  <si>
    <t>Синдром ілеотибіального тракту, латеральний біль стегна</t>
  </si>
  <si>
    <t>GB33</t>
  </si>
  <si>
    <t>3 цуні вище GB34, латеральний надвиросток стегна</t>
  </si>
  <si>
    <t>Локальна для латерального коліна</t>
  </si>
  <si>
    <t>Латеральний біль коліна, ІТ-синдром</t>
  </si>
  <si>
    <t>перед і нижче головки fibula</t>
  </si>
  <si>
    <t>Hui‑Meeting Сухожиль, розслаблює спазм</t>
  </si>
  <si>
    <t>Тендинопатії, фасціальні спазми</t>
  </si>
  <si>
    <t>GB35</t>
  </si>
  <si>
    <t>7 цунів вище латеральної кісточки, задній край малогомілкової кістки</t>
  </si>
  <si>
    <t>Xi-cleft Ян-вей-май</t>
  </si>
  <si>
    <t>Латеральний біль гомілки</t>
  </si>
  <si>
    <t>GB39</t>
  </si>
  <si>
    <t>3 цуні вище латеральної кісточки, передній край малогомілкової кістки</t>
  </si>
  <si>
    <t>Hui-Meeting Кісткового мозку</t>
  </si>
  <si>
    <t>Цервікалгія, остеопороз</t>
  </si>
  <si>
    <t>GB40</t>
  </si>
  <si>
    <t>Передньо-нижче латеральної кісточки</t>
  </si>
  <si>
    <t>GB41</t>
  </si>
  <si>
    <t>Між 4-ю та 5-ю плесновими кістками, проксимально</t>
  </si>
  <si>
    <t>Відкриває Дай-май</t>
  </si>
  <si>
    <t>Мігрень, міжреброва невралгія</t>
  </si>
  <si>
    <t>GB44</t>
  </si>
  <si>
    <t>Латеральний кут нігтя 4-го пальця стопи</t>
  </si>
  <si>
    <t>Мігрень, безсоння</t>
  </si>
  <si>
    <t>▌ ПЕЧІНКА (Liver)</t>
  </si>
  <si>
    <t>LR</t>
  </si>
  <si>
    <t>LR1</t>
  </si>
  <si>
    <t>Латеральний кут нігтя великого пальця стопи</t>
  </si>
  <si>
    <t>Jing-well; регулює нижній обігрівач</t>
  </si>
  <si>
    <t>Тазовий біль</t>
  </si>
  <si>
    <t>LR2</t>
  </si>
  <si>
    <t>Проксимально від перетинки між 1-м і 2-м пальцями стопи</t>
  </si>
  <si>
    <t>Ying-spring; очищує вогонь Печінки</t>
  </si>
  <si>
    <t>Дратівливість, головний біль, гіпертензія</t>
  </si>
  <si>
    <t>заглибина між I–II плеснами стопи</t>
  </si>
  <si>
    <t>Знімає застій Ці Печінки</t>
  </si>
  <si>
    <t>Головний біль «застій Печінки», спазми</t>
  </si>
  <si>
    <t>LR5</t>
  </si>
  <si>
    <t>5 цунів вище медіальної кісточки, медіальна поверхня великогомілкової кістки</t>
  </si>
  <si>
    <t>Luo; урогенітальні розлади</t>
  </si>
  <si>
    <t>Дизурія, генітальний свербіж</t>
  </si>
  <si>
    <t>LR6</t>
  </si>
  <si>
    <t>7 цунів вище медіальної кісточки</t>
  </si>
  <si>
    <t>Гострий тазовий біль</t>
  </si>
  <si>
    <t>LR8</t>
  </si>
  <si>
    <t>Медіальний кінець підколінної складки при згинанні</t>
  </si>
  <si>
    <t>He-Sea; живить Кров Печінки</t>
  </si>
  <si>
    <t>Медіальний біль коліна, дисменорея</t>
  </si>
  <si>
    <t>LR9</t>
  </si>
  <si>
    <t>4 цуні вище медіального надвиростка стегна</t>
  </si>
  <si>
    <t>Регулює менструацію</t>
  </si>
  <si>
    <t>Тазовий біль, дисменорея</t>
  </si>
  <si>
    <t>LR11</t>
  </si>
  <si>
    <t>2 цуні нижче лобкового горбка</t>
  </si>
  <si>
    <t>Локальна пахвинна</t>
  </si>
  <si>
    <t>Пахвинний біль, аддуктори</t>
  </si>
  <si>
    <t>LR13</t>
  </si>
  <si>
    <t>Вільний кінець 11-го ребра</t>
  </si>
  <si>
    <t>Front-Mu Селезінки; Hui-точка Цзан-органів</t>
  </si>
  <si>
    <t>СРК/метеоризм</t>
  </si>
  <si>
    <t>LR14</t>
  </si>
  <si>
    <t>6-е міжребер’я, по сосковій лінії</t>
  </si>
  <si>
    <t>Front-Mu Печінки</t>
  </si>
  <si>
    <t>Гепатопатії, міжреброва невралгія</t>
  </si>
  <si>
    <t>▌ ЖЕНЬ-МАЙ / CV (передньосерединний)</t>
  </si>
  <si>
    <t>CV</t>
  </si>
  <si>
    <t>4 цуні під пупком</t>
  </si>
  <si>
    <t>midline</t>
  </si>
  <si>
    <t>Front‑Mu Сечового міхура</t>
  </si>
  <si>
    <t>Цистит/дизурія</t>
  </si>
  <si>
    <t>3 цуні нижче пупка</t>
  </si>
  <si>
    <t>Живить Інь, гармонізує нижній обігрівач</t>
  </si>
  <si>
    <t>Урогенітальні/гінекологічні розлади</t>
  </si>
  <si>
    <t>CV5</t>
  </si>
  <si>
    <t>2 цуні нижче пупка</t>
  </si>
  <si>
    <t>Front-Mu потрійного обігрівача</t>
  </si>
  <si>
    <t>Набряки, дизурія</t>
  </si>
  <si>
    <t>1.5 цуня нижче пупка</t>
  </si>
  <si>
    <t>Зміцнює Ці, покращує перистальтику</t>
  </si>
  <si>
    <t>Атонія/спазми кишечнику</t>
  </si>
  <si>
    <t>CV8</t>
  </si>
  <si>
    <t>Центр пупка</t>
  </si>
  <si>
    <t>Відновлює ян; ГОЛКОВКОЛЮВАННЯ ЗАБОРОНЕНЕ</t>
  </si>
  <si>
    <t>Колапс, хронічна діарея, астенія</t>
  </si>
  <si>
    <t>⚠ ГОЛКА ЗАБОРОНЕНА — лише мокса/непрямий прогрів</t>
  </si>
  <si>
    <t>1 цунь над пупком</t>
  </si>
  <si>
    <t>Регуляція водного обміну</t>
  </si>
  <si>
    <t>Периферичні набряки, асцит</t>
  </si>
  <si>
    <t>4 цуні над пупком</t>
  </si>
  <si>
    <t>Функціональна диспепсія</t>
  </si>
  <si>
    <t>CV14</t>
  </si>
  <si>
    <t>6 цунів вище пупка</t>
  </si>
  <si>
    <t>Front-Mu Серця</t>
  </si>
  <si>
    <t>Кардіоневроз, тривога, рефлюкс</t>
  </si>
  <si>
    <t>Косо донизу 0,5–0,8 цуня (не вгору — печінка/серце)</t>
  </si>
  <si>
    <t>CV15</t>
  </si>
  <si>
    <t>1 цунь нижче мечоподібного відростка</t>
  </si>
  <si>
    <t>Luo Жень-май; заспокоює Шень</t>
  </si>
  <si>
    <t>Тривога, епілепсія</t>
  </si>
  <si>
    <t>Косо донизу 0,4–0,6 цуня</t>
  </si>
  <si>
    <t>центр груднини на рівні 4-го міжребер’я</t>
  </si>
  <si>
    <t>Збирає Ці грудей, регулює дихання/серце</t>
  </si>
  <si>
    <t>Серцебиття, задишка, тривожність</t>
  </si>
  <si>
    <t>над яремною вирізкою</t>
  </si>
  <si>
    <t>Гортань/дихальні шляхи</t>
  </si>
  <si>
    <t>Ларингіт/астма/дисфонія</t>
  </si>
  <si>
    <t>⚠ Лише фахівець: спершу 0,2 цуня перпендикулярно, потім донизу за грудниною</t>
  </si>
  <si>
    <t>CV24</t>
  </si>
  <si>
    <t>Центр підборідно-губної борозни</t>
  </si>
  <si>
    <t>Парез лицевого нерва, тризм</t>
  </si>
  <si>
    <t>▌ ДУ-МАЙ / GV (задньосерединний)</t>
  </si>
  <si>
    <t>GV</t>
  </si>
  <si>
    <t>GV1</t>
  </si>
  <si>
    <t>Між куприком і анусом</t>
  </si>
  <si>
    <t>Регулює Ду-май, тазове дно</t>
  </si>
  <si>
    <t>Геморой, кокцигодинія</t>
  </si>
  <si>
    <t>між L4–L5</t>
  </si>
  <si>
    <t>Розсіює застій у попереку</t>
  </si>
  <si>
    <t>Люмбо‑ішіалгія</t>
  </si>
  <si>
    <t>над L2 (Mingmen)</t>
  </si>
  <si>
    <t>Тонізує Ян Нирок (Mingmen)</t>
  </si>
  <si>
    <t>Люмбалгія при «холоді/дефіциті ян»</t>
  </si>
  <si>
    <t>GV6</t>
  </si>
  <si>
    <t>Під остистим відростком Th11</t>
  </si>
  <si>
    <t>Зміцнює Селезінку</t>
  </si>
  <si>
    <t>Діарея, люмбалгія</t>
  </si>
  <si>
    <t>GV8</t>
  </si>
  <si>
    <t>Під остистим відростком Th9</t>
  </si>
  <si>
    <t>«Спазм сухожиль»; знімає м’язову ригідність</t>
  </si>
  <si>
    <t>Спазми м’язів спини, епілепсія</t>
  </si>
  <si>
    <t>GV9</t>
  </si>
  <si>
    <t>Під остистим відростком Th7</t>
  </si>
  <si>
    <t>Регулює діафрагму, жовчний</t>
  </si>
  <si>
    <t>Міжлопатковий біль, жовтяниця</t>
  </si>
  <si>
    <t>GV11</t>
  </si>
  <si>
    <t>Під остистим відростком Th5</t>
  </si>
  <si>
    <t>«Шлях Шень»; заспокоює дух</t>
  </si>
  <si>
    <t>Тривога, серцебиття, амнезія</t>
  </si>
  <si>
    <t>GV12</t>
  </si>
  <si>
    <t>Під остистим відростком Th3</t>
  </si>
  <si>
    <t>«Стовп тіла»; зміцнює</t>
  </si>
  <si>
    <t>Астенія, бронхіт, ригідність спини</t>
  </si>
  <si>
    <t>GV13</t>
  </si>
  <si>
    <t>Під остистим відростком Th1</t>
  </si>
  <si>
    <t>Знижує гарячку, звільняє поверхню</t>
  </si>
  <si>
    <t>Лихоманка, ригідність спини</t>
  </si>
  <si>
    <t>над C7</t>
  </si>
  <si>
    <t>Meeting ян‑меридіанів; знижує гарячку</t>
  </si>
  <si>
    <t>Лихоманка, ригідність шиї/спини</t>
  </si>
  <si>
    <t>GV15</t>
  </si>
  <si>
    <t>0,5 цуня вище задньої лінії росту волосся, між C1–C2</t>
  </si>
  <si>
    <t>Впливає на мову, Ду-май</t>
  </si>
  <si>
    <t>Афазія, ригідність шиї</t>
  </si>
  <si>
    <t>⚠ Лише фахівець 0,5–0,8 цуня, суворо перпендикулярно (близько до довгастого мозку)</t>
  </si>
  <si>
    <t>GV16</t>
  </si>
  <si>
    <t>1 цунь вище задньої лінії росту волосся, під потиличним горбом</t>
  </si>
  <si>
    <t>Розсіює внутрішній вітер</t>
  </si>
  <si>
    <t>Головний біль, запаморочення</t>
  </si>
  <si>
    <t>⚠ Лише фахівець 0,5–0,8 цуня (близько до довгастого мозку)</t>
  </si>
  <si>
    <t>маківка, перетин середньої лінії з лінією між верхівками вух</t>
  </si>
  <si>
    <t>Підіймає ян, заспокоює Шень, прояснює свідомість, гармонізує вітер у голові</t>
  </si>
  <si>
    <t>Тривога/депресія, запаморочення, головний біль, когнітивна втома</t>
  </si>
  <si>
    <t>центр лобної ділянки, 0.5 цуня над лінією росту волосся</t>
  </si>
  <si>
    <t>Заспокоює Шень, полегшує фронтальний біль голови, очищує «внутрішній вітер»</t>
  </si>
  <si>
    <t>Фронтальний головний біль, безсоння, синусит (у комбінаціях)</t>
  </si>
  <si>
    <t>GV26</t>
  </si>
  <si>
    <t>На межі верхньої 1/3 і нижніх 2/3 фільтра верхньої губи</t>
  </si>
  <si>
    <t>Класична реанімаційна точка</t>
  </si>
  <si>
    <t>Непритомність, гострий люмбаго</t>
  </si>
  <si>
    <t>▌ ПОЗАКАНАЛЬНІ ТОЧКИ (Extra)</t>
  </si>
  <si>
    <t>EX</t>
  </si>
  <si>
    <t>EX-B2</t>
  </si>
  <si>
    <t>0,5 цуня латерально від нижнього краю остистих відростків Th1–L5 (парні, по всій довжині)</t>
  </si>
  <si>
    <t>Сегментарна регуляція відповідного дерматома/міотома</t>
  </si>
  <si>
    <t>Сегментарний біль, радикулопатія, вісцеральна дисфункція</t>
  </si>
  <si>
    <t>Косо до середньої лінії 0,5–1,0 цуня (у грудному відділі — суворо косо)</t>
  </si>
  <si>
    <t>центр міжбрів’я</t>
  </si>
  <si>
    <t>Заспокоює розум, полегшує безсоння й закладеність носа</t>
  </si>
  <si>
    <t>Тривога, безсоння, риніт/закладеність</t>
  </si>
  <si>
    <t>EX-HN5</t>
  </si>
  <si>
    <t>Заглибина скроні, приблизно 1 цунь позаду середини між латеральним кутом ока й кінцем брови</t>
  </si>
  <si>
    <t>Розсіює вітер, полегшує скроневий біль</t>
  </si>
  <si>
    <t>Мігрень, очна втома</t>
  </si>
  <si>
    <t>EX-LE5</t>
  </si>
  <si>
    <t>Парні заглибини по обидва боки зв’язки надколінка при зігнутому коліні</t>
  </si>
  <si>
    <t>Локальні для коліна</t>
  </si>
  <si>
    <t>Гонартроз, набряк коліна</t>
  </si>
  <si>
    <t>EX-UE7</t>
  </si>
  <si>
    <t>Тил кисті, між 2–3-ю та 4–5-ю п’ястковими кістками</t>
  </si>
  <si>
    <t>Емпірична дистальна точка при гострому люмбаго</t>
  </si>
  <si>
    <t>Гострий люмбаго (з рухом попереку)</t>
  </si>
  <si>
    <t>Точка максимальної локальної болючості при пальпації — не має фіксованих координат</t>
  </si>
  <si>
    <t>local</t>
  </si>
  <si>
    <t>«Там, де болить» — локальне розсіювання застою</t>
  </si>
  <si>
    <t>Будь-який локальний міофасціальний біль</t>
  </si>
  <si>
    <t>За локалізацією, з урахуванням підлеглих структур</t>
  </si>
  <si>
    <t>Прямої відповідності не має — використовується як дистальна пара</t>
  </si>
  <si>
    <t>ЛЕГЕНДА ТА ПРАВИЛА КОРИСТУВАННЯ</t>
  </si>
  <si>
    <t>Призначення довідника</t>
  </si>
  <si>
    <t>Довідкова інформація для ЛІКАРЯ, який приймає остаточне й коригуюче рішення щодо набору зон впливу. Колонки 11–16 показують, наскільки та чи інша точка придатна для кожної з інтегрованих технік — щоб при заміні або додаванні зони обрати техніку, адекватну тканині під точкою.</t>
  </si>
  <si>
    <t>Масаж / акупресура (11)</t>
  </si>
  <si>
    <t>Придатність для пальцевого впливу залежить від товщини тканини. «Глибокий тиск» — лише над масивом м’яза; «легкий дотик» — там, де під точкою кістка, судина або порожнина.</t>
  </si>
  <si>
    <t>Мануальні техніки (12)</t>
  </si>
  <si>
    <t>Міофасціальний реліз (МФР), суглобова мобілізація, постізометрична релаксація. Для точок над грудною кліткою та шиєю — лише м’які позиційні техніки.</t>
  </si>
  <si>
    <t>Голковколювання (13)</t>
  </si>
  <si>
    <t>Наведено стандартну безпечну глибину й напрямок. Значення є ОРІЄНТИРОМ для наведення випромінювача АПК, а не інструкцією з інвазивної процедури — інвазивні маніпуляції виконує лише спеціаліст із відповідною підготовкою.</t>
  </si>
  <si>
    <t>Припалювання / прогрів (14)</t>
  </si>
  <si>
    <t>Відповідає каналу теплового впливу АПК. «Ні» означає традиційне протипоказання (обличчя, близькість до ока чи слизової) або ризик опіку.</t>
  </si>
  <si>
    <t>Тригерні натиснення (15)</t>
  </si>
  <si>
    <t>Чи є зона типовою міофасціальною тригерною точкою за Travell/Simons — визначає доцільність вибору цієї точки як LIPUS-2 (фасціальна зона моделі «6+1»).</t>
  </si>
  <si>
    <t>Су-Джок (16)</t>
  </si>
  <si>
    <t>Відповідність на кисті або стопі; використовується для зони PEMF-2 (рефлекторно-дистальна).</t>
  </si>
  <si>
    <t>⚠ Застереження (17)</t>
  </si>
  <si>
    <t>НАЙВАЖЛИВІША КОЛОНКА. Червоним позначено точки з ризиком: ⚠⚠ ПНЕВМОТОРАКС (усі точки над грудною кліткою — глибокий вплив заборонено, лише косо/тангенційно); ⚠⚠ ВАГІТНІСТЬ (LI4, SP6, GB21, BL60, BL67, ST25, нижньоабдомінальні CV/ST — не застосовувати); ⚠ СУДИНА/НЕРВ; ⚠ ОРБІТА. Перевіряти ПЕРЕД кожним сеансом.</t>
  </si>
  <si>
    <t>Координати (5–6)</t>
  </si>
  <si>
    <t>Колонки Move_Along_cun / Move_Across_cun збережено для сумісності з іншими аркушами ядра; фактична прив’язка подана текстово в Base_Reference за цунєвою системою.</t>
  </si>
  <si>
    <t>Верифікація</t>
  </si>
  <si>
    <t>Локалізації наведено за номенклатурою WHO Standard Acupuncture Point Locations (2008). Перед клінічним застосуванням звіряти з атласом Deadman P. et al. «A Manual of Acupuncture» (2nd ed., 2016) — див. запис №2 блоку верифікованої літератури на аркуші «Інструкція_кор».</t>
  </si>
  <si>
    <t>J. КАРТА ТОЧОК НА КОНТУРІ ТІЛА — швидке орієнтування для встановлення аплікатора</t>
  </si>
  <si>
    <t>Оберіть код точки у жовтій комірці — на схемі нижче з’явиться її розташування та коло покриття аплікатора Ø8 см. Ліворуч показано передню проєкцію, праворуч — задню. Масштаб схеми: зріст 170 см; 1 поділка = 0,85 см.</t>
  </si>
  <si>
    <t>ТОЧКА →</t>
  </si>
  <si>
    <t>← введіть або оберіть код точки (наприклад GB21, LI4, ST36, BL23)</t>
  </si>
  <si>
    <t>ДАНІ ДЛЯ СХЕМИ (службовий блок — не редагувати)</t>
  </si>
  <si>
    <t>X перед</t>
  </si>
  <si>
    <t>Y перед</t>
  </si>
  <si>
    <t>X зад</t>
  </si>
  <si>
    <t>Y зад</t>
  </si>
  <si>
    <t>X точка</t>
  </si>
  <si>
    <t>Y точка</t>
  </si>
  <si>
    <t>X коло</t>
  </si>
  <si>
    <t>Y коло</t>
  </si>
  <si>
    <t>Меридіан</t>
  </si>
  <si>
    <t>Анатомічний орієнтир</t>
  </si>
  <si>
    <t>Висота від підлоги</t>
  </si>
  <si>
    <t>Відступ від серединної лінії</t>
  </si>
  <si>
    <t>Основні ефекти</t>
  </si>
  <si>
    <t>Масаж / акупресура</t>
  </si>
  <si>
    <t>Голковколювання</t>
  </si>
  <si>
    <t>Прогрів (мокса)</t>
  </si>
  <si>
    <t>⚠ ЗАСТЕРЕЖЕННЯ</t>
  </si>
  <si>
    <t>ЯК КОРИСТУВАТИСЯ ТА ОБМЕЖЕННЯ ТОЧНОСТІ</t>
  </si>
  <si>
    <t>Порядок роботи</t>
  </si>
  <si>
    <t>Введіть код точки у жовту комірку B4 (або оберіть зі списку). Схема одразу покаже положення точки червоним маркером і синє коло — фактичну зону, яку накриє аплікатор Ø8 см.</t>
  </si>
  <si>
    <t>Проєкції</t>
  </si>
  <si>
    <t>Ліворуч — вигляд СПЕРЕДУ, праворуч — вигляд ЗЗАДУ. Точка з’являється на тій проєкції, до якої належить (поле «Проєкція»). Бічні точки (меридіан жовчного міхура) показано на передній проєкції зі зміщенням убік.</t>
  </si>
  <si>
    <t>Сторона тіла</t>
  </si>
  <si>
    <t>Показано ОДНУ сторону. Для парних (білатеральних) точок дзеркально повторіть положення на протилежному боці.</t>
  </si>
  <si>
    <t>⚠ РЕАЛЬНА ТОЧНІСТЬ СХЕМИ</t>
  </si>
  <si>
    <t>Силует є СХЕМАТИЧНИМ і побудований для зросту 170 см. Похибка позиціювання складає приблизно ±3–6 см і зростає в пацієнтів із суттєво іншим зростом або статурою. Схема дає ШВИДКЕ ОРІЄНТУВАННЯ (де приблизно шукати), але НЕ замінює перевірку за анатомічними орієнтирами — використовуйте опис у полі «Анатомічний орієнтир» та цунєву прив’язку. Аплікатор Ø8 см прощає похибку близько ±4 см від центру, тож орієнтування схемою плюс звірка орієнтира дають надійне накриття.</t>
  </si>
  <si>
    <t>Цуні проти сантиметрів</t>
  </si>
  <si>
    <t>Класична топографія ТКМ використовує ЦУНІ — пропорційні одиниці, індивідуальні для кожного пацієнта (1 цунь ≈ ширина великого пальця пацієнта). Сантиметри в цій таблиці є перерахунком для умовного зросту 170 см і слугують лише для побудови схеми.</t>
  </si>
  <si>
    <t>⚠ Перед впливом</t>
  </si>
  <si>
    <t>Обов’язково прочитайте поле «ЗАСТЕРЕЖЕННЯ»: для точок над грудною кліткою заборонений глибокий вплив (ризик пневмотораксу), окремі точки протипоказані при вагітності, деякі розташовані біля магістральних судин або очної ямки.</t>
  </si>
  <si>
    <t>Технічна реалізація</t>
  </si>
  <si>
    <t>Реалізовано на формулах і точковій діаграмі БЕЗ макросів VBA. Це свідоме рішення: макроси не підтримуються форматом .xlsx, спричиняють попередження безпеки й ускладнюють валідацію програмного компонента медичного виробу (IEC 62304). Поточне рішення працює в Excel, LibreOffice і вебверсіях без додаткових дозволів.</t>
  </si>
  <si>
    <t>A. КАРТКА ПАЦІЄНТА ТА ЖУРНАЛ СЕАНСІВ</t>
  </si>
  <si>
    <t>Первинний обліковий документ: хто пацієнт, який протокол призначено, що фактично виконано на кожному сеансі. Без цього листа розрахункові індекси не мають прив’язки до конкретної людини та курсу. Заповнює лікар або медсестра після кожного сеансу.</t>
  </si>
  <si>
    <t>ПАСПОРТНА ЧАСТИНА (заповнюється один раз)</t>
  </si>
  <si>
    <t>Ідентифікатор пацієнта (знеособлений код)</t>
  </si>
  <si>
    <t>напр. MFL-2027-001</t>
  </si>
  <si>
    <t>Дата народження / вік</t>
  </si>
  <si>
    <t>Стать</t>
  </si>
  <si>
    <t>Основний діагноз (МКХ-11)</t>
  </si>
  <si>
    <t>№ нозології за листом «Терапія_по_зонах»</t>
  </si>
  <si>
    <t>1–116</t>
  </si>
  <si>
    <t>Супутні стани (коморбідність)</t>
  </si>
  <si>
    <t>Наявність металоконструкцій / імплантів</t>
  </si>
  <si>
    <t>так / ні; локалізація</t>
  </si>
  <si>
    <t>Кардіостимулятор або інший активний імплант</t>
  </si>
  <si>
    <t>⚠ так / ні</t>
  </si>
  <si>
    <t>Вагітність</t>
  </si>
  <si>
    <t>⚠ так / ні / не застосовно</t>
  </si>
  <si>
    <t>Епілепсія в анамнезі</t>
  </si>
  <si>
    <t>Постійна фармакотерапія</t>
  </si>
  <si>
    <t>препарат, доза</t>
  </si>
  <si>
    <t>Лікар, відповідальний за курс</t>
  </si>
  <si>
    <t>Дата початку курсу</t>
  </si>
  <si>
    <t>Інформована згода отримана (дата)</t>
  </si>
  <si>
    <t>ЖУРНАЛ СЕАНСІВ (один рядок = один сеанс)</t>
  </si>
  <si>
    <t>№ сеансу</t>
  </si>
  <si>
    <t>Дата</t>
  </si>
  <si>
    <t>Доба курсу</t>
  </si>
  <si>
    <t>Фаза протоколу</t>
  </si>
  <si>
    <t>Зони, що опрацьовані
(коди точок)</t>
  </si>
  <si>
    <t>Тривалість, хв</t>
  </si>
  <si>
    <t>Перед сеансом:
чек-лист пройдено</t>
  </si>
  <si>
    <t>VAS до</t>
  </si>
  <si>
    <t>VAS після</t>
  </si>
  <si>
    <t>Суб’єктивна
переносимість</t>
  </si>
  <si>
    <t>Небажані явища
(№ у листі D)</t>
  </si>
  <si>
    <t>Виконавець</t>
  </si>
  <si>
    <t>Підпис</t>
  </si>
  <si>
    <t>Примітки</t>
  </si>
  <si>
    <t>ПРИЗНАЧЕННЯ ТА ПРАВИЛА ВЕДЕННЯ</t>
  </si>
  <si>
    <t>Знеособлення</t>
  </si>
  <si>
    <t>Використовуйте лише кодовий ідентифікатор. Персональні дані (ПІБ, адреса) у цьому файлі НЕ зберігаються — вони ведуться в основній медичній документації закладу.</t>
  </si>
  <si>
    <t>Обов’язковість чек-листа</t>
  </si>
  <si>
    <t>Сеанс не розпочинається, доки не пройдено чек-лист листа «C_Чек-лист_безпеки». Позначка «ні» у відповідному стовпці означає порушення протоколу.</t>
  </si>
  <si>
    <t>Зв’язок з розрахунком</t>
  </si>
  <si>
    <t>Номер нозології зв’язує картку з листом «Терапія_по_зонах» (зони впливу), а результати обстежень вносяться на листи «1_Input_5_обстежень_» або «3_коефіцієнти_розширеного_аналі», звідки їх беруть індекси.</t>
  </si>
  <si>
    <t>B. ДОЗИМЕТРІЯ: ФАКТИЧНО ДОСТАВЛЕНІ РЕЖИМИ ЗА ЗОНАМИ</t>
  </si>
  <si>
    <t>Що саме отримав пацієнт: канал, зона, інтенсивність, частота, експозиція. Потрібно інженерному супроводу для відтворюваності, метрологам — для контролю доз, і клініцисту — щоб пов’язати відповідь пацієнта з конкретним режимом, а не з «курсом узагалі».</t>
  </si>
  <si>
    <t>Канал</t>
  </si>
  <si>
    <t>Роль зони
(модель 6+1)</t>
  </si>
  <si>
    <t>Точка / зона
(код)</t>
  </si>
  <si>
    <t>Інтенсивність</t>
  </si>
  <si>
    <t>Од. вим.</t>
  </si>
  <si>
    <t>Частота, Гц</t>
  </si>
  <si>
    <t>Експозиція, хв</t>
  </si>
  <si>
    <t>Аплікатор
(тип, №)</t>
  </si>
  <si>
    <t>Темп. шкіри
до/після, °C</t>
  </si>
  <si>
    <t>Оператор</t>
  </si>
  <si>
    <t>Відхилення від протоколу</t>
  </si>
  <si>
    <t>EMS</t>
  </si>
  <si>
    <t>EMS-1 осьова</t>
  </si>
  <si>
    <t>мА</t>
  </si>
  <si>
    <t>EMS-2 вегетативна</t>
  </si>
  <si>
    <t>PEMF</t>
  </si>
  <si>
    <t>PEMF-1 підтримуюча</t>
  </si>
  <si>
    <t>мТл</t>
  </si>
  <si>
    <t>PEMF-2 рефлекторно-дистальна</t>
  </si>
  <si>
    <t>LIPUS</t>
  </si>
  <si>
    <t>LIPUS-1 локальна</t>
  </si>
  <si>
    <t>Вт/см²</t>
  </si>
  <si>
    <t>LIPUS-2 фасціальна</t>
  </si>
  <si>
    <t>Один сеанс = шість рядків</t>
  </si>
  <si>
    <t>Модель «6+1» передбачає шість терапевтичних зон. Діагностична зона Чепмена (+1) опрацьовується пальпаторно і в дозиметрію НЕ вноситься, бо апаратного впливу не отримує.</t>
  </si>
  <si>
    <t>Межі режимів</t>
  </si>
  <si>
    <t>Допустимі діапазони інтенсивності, частоти та експозиції наведено в Інструкції з експлуатації (Розділ 4). Будь-яке відхилення фіксується в останньому стовпці із зазначенням причини.</t>
  </si>
  <si>
    <t>Контроль температури</t>
  </si>
  <si>
    <t>Для каналів PEMF і LIPUS вимірювання температури шкіри до/після сеансу є обов’язковим: архітектура АПК є безтепловою, тож приріст температури понад норму свідчить про несправність або помилку аплікації.</t>
  </si>
  <si>
    <t>Для метрологів</t>
  </si>
  <si>
    <t>Серійні номери аплікаторів звіряються з листом «E_Метрологія_обладнання»; застосування аплікатора з простроченою повіркою неприпустиме.</t>
  </si>
  <si>
    <t>C. ЧЕК-ЛИСТ БЕЗПЕКИ ПЕРЕД КОЖНИМ СЕАНСОМ</t>
  </si>
  <si>
    <t>Обов’язкова процедура перед подачею енергії. Заповнюється щоразу. Наявність хоча б однієї позначки «СТОП» у графі результату означає, що сеанс НЕ проводиться до з’ясування обставин із лікарем, відповідальним за курс.</t>
  </si>
  <si>
    <t>Категорія</t>
  </si>
  <si>
    <t>Що перевіряється</t>
  </si>
  <si>
    <t>Результат
(так/ні)</t>
  </si>
  <si>
    <t>Дія за наявності</t>
  </si>
  <si>
    <t>Перевірив</t>
  </si>
  <si>
    <t>Дата/час</t>
  </si>
  <si>
    <t>Абсолютні</t>
  </si>
  <si>
    <t>Активний імплант (кардіостимулятор, ІКД, нейростимулятор, інсулінова помпа)</t>
  </si>
  <si>
    <t>СТОП</t>
  </si>
  <si>
    <t>Сеанс не проводиться</t>
  </si>
  <si>
    <t>Вагітність (будь-який термін) — за наявності зон LI4, SP6, GB21, BL60, BL67, ST25, нижньоабдомінальних CV</t>
  </si>
  <si>
    <t>Сеанс не проводиться або перегляд зон лікарем</t>
  </si>
  <si>
    <t>Злоякісне новоутворення в зоні впливу</t>
  </si>
  <si>
    <t>Гостра інфекція з гарячкою понад 38 °C</t>
  </si>
  <si>
    <t>Відкласти до нормалізації</t>
  </si>
  <si>
    <t>Тромбоз глибоких вен / тромбофлебіт у зоні впливу</t>
  </si>
  <si>
    <t>Порушення цілості шкіри, опік, дерматит у зоні аплікації</t>
  </si>
  <si>
    <t>Змінити зону або відкласти</t>
  </si>
  <si>
    <t>Відносні</t>
  </si>
  <si>
    <t>Металоостеосинтез — підтвердити, що зони наведені ПОЗА проєкцією імплантату</t>
  </si>
  <si>
    <t>УВАГА</t>
  </si>
  <si>
    <t>Перевірити наведення зон</t>
  </si>
  <si>
    <t>Знижена інтенсивність, присутність лікаря</t>
  </si>
  <si>
    <t>Тяжка артеріальна гіпертензія (АТ понад 180/110)</t>
  </si>
  <si>
    <t>Стабілізувати АТ перед сеансом</t>
  </si>
  <si>
    <t>Порушення чутливості в зоні впливу</t>
  </si>
  <si>
    <t>Знижена інтенсивність, частий контроль</t>
  </si>
  <si>
    <t>Антикоагулянтна терапія</t>
  </si>
  <si>
    <t>Уникати інтенсивного тиску/тригерних технік</t>
  </si>
  <si>
    <t>Виражений психоемоційний стан, тригерна реакція на апаратуру (ПТСР)</t>
  </si>
  <si>
    <t>Психоемоційна підготовка, м’який старт</t>
  </si>
  <si>
    <t>Технічні</t>
  </si>
  <si>
    <t>Аплікатори цілі, без пошкодження ізоляції</t>
  </si>
  <si>
    <t>Замінити аплікатор</t>
  </si>
  <si>
    <t>Повірка приладу чинна (лист E)</t>
  </si>
  <si>
    <t>Не використовувати до повірки</t>
  </si>
  <si>
    <t>Провідний гель наявний, термін придатності не сплив</t>
  </si>
  <si>
    <t>Замінити гель</t>
  </si>
  <si>
    <t>Заземлення та електробезпека перевірені</t>
  </si>
  <si>
    <t>Викликати інженерний супровід</t>
  </si>
  <si>
    <t>Процедурні</t>
  </si>
  <si>
    <t>Інформована згода чинна</t>
  </si>
  <si>
    <t>Оформити згоду</t>
  </si>
  <si>
    <t>Пацієнта поінформовано про небольовий характер впливу</t>
  </si>
  <si>
    <t>Провести інструктаж</t>
  </si>
  <si>
    <t>Пальпацію діагностичної зони Чепмена (+1) виконано</t>
  </si>
  <si>
    <t>Виконати перед акордом</t>
  </si>
  <si>
    <t>Джерело переліку</t>
  </si>
  <si>
    <t>Абсолютні та відносні протипокази — за Розділом 3 Інструкції з експлуатації та Додатком Е. Технічні пункти — за вимогами електробезпеки медичних виробів.</t>
  </si>
  <si>
    <t>Зони й застереження</t>
  </si>
  <si>
    <t>Перелік зон, що потребують окремої уваги (вагітність, пневмоторакс, судини, орбіта), наведено у стовпці застережень листа «Довідник_зон_S-matrix».</t>
  </si>
  <si>
    <t>Зберігання</t>
  </si>
  <si>
    <t>Заповнений чек-лист є частиною медичної документації курсу і зберігається разом із карткою пацієнта (лист A).</t>
  </si>
  <si>
    <t>D. РЕЄСТР НЕБАЖАНИХ ЯВИЩ (Adverse Events)</t>
  </si>
  <si>
    <t>Обов’язковий елемент будь-якого клінічного застосування медичного виробу та реєстраційного досьє. Фіксуються ВСІ небажані явища незалежно від того, чи пов’язані вони з втручанням. Відсутність записів має бути свідомо підтверджена, а не наслідком незаповнення.</t>
  </si>
  <si>
    <t>Ідентифікатор
пацієнта</t>
  </si>
  <si>
    <t>Дата виявлення</t>
  </si>
  <si>
    <t>Опис явища</t>
  </si>
  <si>
    <t>Тяжкість</t>
  </si>
  <si>
    <t>Причинний зв’язок
з втручанням</t>
  </si>
  <si>
    <t>Дії вжито</t>
  </si>
  <si>
    <t>Наслідок</t>
  </si>
  <si>
    <t>Серйозне НЯ
(SAE)</t>
  </si>
  <si>
    <t>Повідомлено
(кому, дата)</t>
  </si>
  <si>
    <t>Що фіксувати</t>
  </si>
  <si>
    <t>Будь-яку небажану зміну стану: біль, парестезії, почервоніння чи опік шкіри, запаморочення, підвищення АТ, загострення основного захворювання, психоемоційна реакція.</t>
  </si>
  <si>
    <t>Шкала причинного зв’язку</t>
  </si>
  <si>
    <t>Використано стандартні категорії ВООЗ-UMC: безумовний, ймовірний, можливий, сумнівний, не пов’язаний. Оцінку робить лікар.</t>
  </si>
  <si>
    <t>Серйозне НЯ (SAE)</t>
  </si>
  <si>
    <t>Явище, що призвело до смерті, загрози життю, госпіталізації чи її подовження, стійкої втрати працездатності. Підлягає невідкладному повідомленню відповідальному лікарю та виробнику згідно з процедурою пост-маркетингового нагляду.</t>
  </si>
  <si>
    <t>Зв’язок з дозиметрією</t>
  </si>
  <si>
    <t>Для кожного НЯ звіряйте фактичні режими сеансу на листі «B_Дозиметрія_сеансів» — це основа аналізу «доза–відповідь» при розслідуванні.</t>
  </si>
  <si>
    <t>E. МЕТРОЛОГІЧНИЙ КОНТРОЛЬ ОБЛАДНАННЯ</t>
  </si>
  <si>
    <t>Реєстр засобів вимірювальної техніки та терапевтичних каналів: повірка, калібрування, відповідність стандартам. Лист для інженерного супроводу й метрологів. Результати вимірювань приладом із простроченою повіркою не є метрологічно простежуваними.</t>
  </si>
  <si>
    <t>Обладнання / канал</t>
  </si>
  <si>
    <t>Виробник, модель</t>
  </si>
  <si>
    <t>Заводський №</t>
  </si>
  <si>
    <t>Що вимірює / подає</t>
  </si>
  <si>
    <t>Стандарт</t>
  </si>
  <si>
    <t>Дата останньої
повірки</t>
  </si>
  <si>
    <t>Наступна
повірка</t>
  </si>
  <si>
    <t>Свідоцтво №</t>
  </si>
  <si>
    <t>Відповідальний</t>
  </si>
  <si>
    <t>Генератор МУФЛОН-7, канал EMS</t>
  </si>
  <si>
    <t>подача електростимуляції</t>
  </si>
  <si>
    <t>IEC 60601-2-10</t>
  </si>
  <si>
    <t>Генератор МУФЛОН-7, канал PEMF</t>
  </si>
  <si>
    <t>подача імпульсного ЕМ поля</t>
  </si>
  <si>
    <t>IEC 60601-1</t>
  </si>
  <si>
    <t>Генератор МУФЛОН-7, канал LIPUS</t>
  </si>
  <si>
    <t>подача ультразвуку</t>
  </si>
  <si>
    <t>IEC 60601-2-5 / ISO 80601</t>
  </si>
  <si>
    <t>SpO₂, PI</t>
  </si>
  <si>
    <t>ISO 80601-2-61</t>
  </si>
  <si>
    <t>Тонометр автоматичний</t>
  </si>
  <si>
    <t>САТ/ДАТ</t>
  </si>
  <si>
    <t>ISO 81060-2</t>
  </si>
  <si>
    <t>Термометр клінічний</t>
  </si>
  <si>
    <t>температура тіла</t>
  </si>
  <si>
    <t>ISO 80601-2-56</t>
  </si>
  <si>
    <t>ЕКГ / монітор ВСР (≥500 Гц)</t>
  </si>
  <si>
    <t>HRV, RMSSD, SDNN, LF/HF</t>
  </si>
  <si>
    <t>IEC 60601-2-25 / -2-47</t>
  </si>
  <si>
    <t>Біоімпедансний аналізатор</t>
  </si>
  <si>
    <t>імпеданс тканин</t>
  </si>
  <si>
    <t>настанови ESPEN</t>
  </si>
  <si>
    <t>NIRS-оксиметр</t>
  </si>
  <si>
    <t>специфікація виробника</t>
  </si>
  <si>
    <t>Лазерний допплерівський флоуметр</t>
  </si>
  <si>
    <t>перфузія (PU)</t>
  </si>
  <si>
    <t>Тепловізор медичний</t>
  </si>
  <si>
    <t>локальна температура</t>
  </si>
  <si>
    <t>IEC 80601-2-59</t>
  </si>
  <si>
    <t>Гоніометр / інклінометр</t>
  </si>
  <si>
    <t>Динамометр кистьовий (Jamar)</t>
  </si>
  <si>
    <t>сила стиснення</t>
  </si>
  <si>
    <t>протокол ASHT</t>
  </si>
  <si>
    <t>Система поверхневої ЕМГ</t>
  </si>
  <si>
    <t>амплітуда/частота ЕМГ</t>
  </si>
  <si>
    <t>SENIAM / ISEK</t>
  </si>
  <si>
    <t>Аплікатор EMS №1 / №2</t>
  </si>
  <si>
    <t>контактна подача</t>
  </si>
  <si>
    <t>контроль цілості ізоляції</t>
  </si>
  <si>
    <t>Аплікатор PEMF №1 / №2</t>
  </si>
  <si>
    <t>котушка</t>
  </si>
  <si>
    <t>контроль індукції</t>
  </si>
  <si>
    <t>П’єзовипромінювач LIPUS</t>
  </si>
  <si>
    <t>акустична потужність</t>
  </si>
  <si>
    <t>IEC 60601-2-5</t>
  </si>
  <si>
    <t>Автоматичний статус</t>
  </si>
  <si>
    <t>Стовпець «Статус» рахується сам: щойно ви внесете дату наступної повірки, він покаже «чинна», «спливає» (менш як 30 діб) або «⚠ ПРОСТРОЧЕНО».</t>
  </si>
  <si>
    <t>Зв’язок з чек-листом</t>
  </si>
  <si>
    <t>Пункт 14 листа «C_Чек-лист_безпеки» вимагає підтвердити чинність повірки перед кожним сеансом — звіряйте саме з цим листом.</t>
  </si>
  <si>
    <t>Простежуваність</t>
  </si>
  <si>
    <t>Заводські номери аплікаторів мають збігатися з тими, що вносяться до листа «B_Дозиметрія_сеансів», інакше втрачається зв’язок «доза — конкретний аплікатор».</t>
  </si>
  <si>
    <t>Перелік приладів</t>
  </si>
  <si>
    <t>Класи приладів для кожного параметра наведено у стовпці «Рекомендоване обладнання» листа «8_параметричны описи».</t>
  </si>
  <si>
    <t>F. СТАТИСТИКА КОГОРТИ — описовий аналіз набору «2024_2026»</t>
  </si>
  <si>
    <t>Автоматичний зріз клінічного масиву: 195 пацієнтів, 4 групи, 975 спостережень. Лист для біофізика-статистика та для формування доказової частини звіту НДР і реєстраційного досьє. Усі значення перераховуються самі при поповненні набору.</t>
  </si>
  <si>
    <t>F.1. СКЛАД КОГОРТИ</t>
  </si>
  <si>
    <t>Група</t>
  </si>
  <si>
    <t>Спостережень</t>
  </si>
  <si>
    <t>Пацієнтів</t>
  </si>
  <si>
    <t>Вік, середній</t>
  </si>
  <si>
    <t>Вік, SD</t>
  </si>
  <si>
    <t>Чоловіків</t>
  </si>
  <si>
    <t>Жінок</t>
  </si>
  <si>
    <t>VAS день 0
(M±SD)</t>
  </si>
  <si>
    <t>VAS день 21
(M±SD)</t>
  </si>
  <si>
    <t>Δ VAS, абс.</t>
  </si>
  <si>
    <t>Δ VAS, %</t>
  </si>
  <si>
    <t>Респондери
(Δ≥30%), %</t>
  </si>
  <si>
    <t>УСЬОГО</t>
  </si>
  <si>
    <t>F.2. ДИНАМІКА СЕРЕДНІХ ЗНАЧЕНЬ ЗА ВІЗИТАМИ (основа трендів листа G)</t>
  </si>
  <si>
    <t>День 0</t>
  </si>
  <si>
    <t>День 4</t>
  </si>
  <si>
    <t>День 8</t>
  </si>
  <si>
    <t>День 12</t>
  </si>
  <si>
    <t>День 21</t>
  </si>
  <si>
    <t>Δ 0→21</t>
  </si>
  <si>
    <t>Δ, %</t>
  </si>
  <si>
    <t>VAS (↓)</t>
  </si>
  <si>
    <t>CSI (↓)</t>
  </si>
  <si>
    <t>LF_HF (↓)</t>
  </si>
  <si>
    <t>ROM (↑)</t>
  </si>
  <si>
    <t>MedicationLoad (↓)</t>
  </si>
  <si>
    <t>Джерело</t>
  </si>
  <si>
    <t>Лист «2024_2026»: 975 рядків спостережень (195 пацієнтів × 5 контрольних візитів: дні 0, 4, 8, 12, 21). Групи L1, L2, L3 та контрольна S.</t>
  </si>
  <si>
    <t>Що рахується автоматично</t>
  </si>
  <si>
    <t>Обсяг вибірки, статево-віковий склад, середні та стандартні відхилення за візитами, абсолютна й відносна динаміка. При поповненні набору новими рядками достатньо розширити діапазони — формули перерахуються.</t>
  </si>
  <si>
    <t>Респондери</t>
  </si>
  <si>
    <t>Стовпець «Респондери» лишено для ручного/подальшого розрахунку: коректне визначення частки відповіді потребує обчислення Δ ІНДИВІДУАЛЬНО для кожного пацієнта, а не за середніми (інакше виникає екологічна помилка). Порог — зниження VAS ≥30% (Farrar, 2001).</t>
  </si>
  <si>
    <t>⚠ Обмеження</t>
  </si>
  <si>
    <t>Наведено ОПИСОВУ статистику. Тут НЕМАЄ перевірки статистичних гіпотез: для порівняння груп потрібні тести з урахуванням повторних вимірювань (змішані моделі / ANOVA з повторами) і поправка на множинні порівняння. Ці розрахунки виконуються у спеціалізованому ПЗ (R, Python, SPSS), а не в електронній таблиці.</t>
  </si>
  <si>
    <t>G1. ДИНАМІКА ІНДЕКСІВ КОНКРЕТНОГО ПАЦІЄНТА ЗА П’ЯТЬМА ОБСТЕЖЕННЯМИ</t>
  </si>
  <si>
    <t>Показує, як змінювався стан ЦЬОГО пацієнта в часі за результатами того, що внесено на листи «3_коефіцієнти_розширеного_аналі» (повне обстеження) або «1_Input_5_обстежень_» (скорочене). Джерело обирається автоматично — так само, як для всіх індексів. Не плутати з листом «G_Тренди», який показує КОГОРТНІ середні по масиву 2024_2026.</t>
  </si>
  <si>
    <t>Змінюється на листі «5_Mechanistic» (комірка C4). Усі графіки нижче перебудуються самі.</t>
  </si>
  <si>
    <t>G1.1. БАЗОВІ ІНДЕКСИ</t>
  </si>
  <si>
    <t>Доба 5</t>
  </si>
  <si>
    <t>Доба 10</t>
  </si>
  <si>
    <t>Доба 20</t>
  </si>
  <si>
    <t>Доба 40</t>
  </si>
  <si>
    <t>Доба 80</t>
  </si>
  <si>
    <t>Δ абс.
(80 – 5)</t>
  </si>
  <si>
    <t>Реалізовано
потенціалу</t>
  </si>
  <si>
    <t>Досягнуто
на добу</t>
  </si>
  <si>
    <t>CEI (клінічна ефективність)</t>
  </si>
  <si>
    <t>MI (механістичний)</t>
  </si>
  <si>
    <t>«Реалізовано потенціалу» = (значення на 80-у добу − значення на 5-у) ÷ (1 − значення на 5-у). Показує, яку частку доступного простору для покращення пройдено. Звичайний відсоток приросту тут непридатний: за майже нульового старту він дає сотні відсотків і вводить в оману.</t>
  </si>
  <si>
    <t>FRI (функціональне відновлення)</t>
  </si>
  <si>
    <t>DMI (модифікація процесу)</t>
  </si>
  <si>
    <t>G1.2. ДОМЕНИ (складові CREI)</t>
  </si>
  <si>
    <t>Pain (біль)</t>
  </si>
  <si>
    <t>Neuro (нейро/ПТСР)</t>
  </si>
  <si>
    <t>ANS (вегетативний)</t>
  </si>
  <si>
    <t>Function (функція)</t>
  </si>
  <si>
    <t>Trophic (трофіка)</t>
  </si>
  <si>
    <t>G1.3. КОМПОЗИТНИЙ ІНДЕКС CREI</t>
  </si>
  <si>
    <t>CREI (композитний)</t>
  </si>
  <si>
    <t>G1.4. ПІДСУМОК ДИНАМІКИ</t>
  </si>
  <si>
    <t>Підсумковий показник</t>
  </si>
  <si>
    <t>Трактування</t>
  </si>
  <si>
    <t>Довгостроковий CREI (LongTerm_CREI)</t>
  </si>
  <si>
    <t>Індекс утримання ефекту (RI)</t>
  </si>
  <si>
    <t>Інтегральний ILREI</t>
  </si>
  <si>
    <t>Підсумкова інтегральна ефективність реабілітації</t>
  </si>
  <si>
    <t>Інтегральний біомедичний IBI</t>
  </si>
  <si>
    <t>Загальний біомедичний статус пацієнта</t>
  </si>
  <si>
    <t>Покриття даними (достовірність)</t>
  </si>
  <si>
    <t>Звідки беруться дані</t>
  </si>
  <si>
    <t>Усі значення тягнуться з листа «6_Audit_Trail», який, своєю чергою, рахує їх із повного або скороченого обстеження залежно від режиму. Тобто графіки будуються з того, що фактично внесено, і не потребують окремого заповнення.</t>
  </si>
  <si>
    <t>Що означає «Досягнуто на добу»</t>
  </si>
  <si>
    <t>Перша контрольна точка, у якій індекс сягнув свого порогу клінічної значущості (пороги взято з рядка 14 листа «6_Audit_Trail» — з вашої довідкової таблиці). «Не досягнуто» означає, що за 80 діб поріг не подолано.</t>
  </si>
  <si>
    <t>Як читати графіки</t>
  </si>
  <si>
    <t>Зростання кривої = покращення (усі індекси нормалізовані так, що більше — краще). Розбіжність між кривими інформативна: наприклад, високий MI при низькому CEI означає, що механізм відповідає, а суб’єктивне полегшення відстає — привід продовжити курс, а не міняти протокол.</t>
  </si>
  <si>
    <t>⚠ Достовірність</t>
  </si>
  <si>
    <t>Обов’язково дивіться рядок «Покриття даними». Якщо воно нижче 60%, форма кривих відображає радше повноту обстеження, ніж стан пацієнта, і не може бути підставою для клінічного рішення.</t>
  </si>
  <si>
    <t>Відмінність від листа G_Тренди</t>
  </si>
  <si>
    <t>Цей лист — ОДИН пацієнт, п’ять його контрольних точок, розрахункові індекси. Лист «G_Тренди» — КОГОРТА (195 пацієнтів, 4 групи), сирі показники з масиву 2024_2026. Це різні рівні аналізу і вони не взаємозамінні.</t>
  </si>
  <si>
    <t>F1. КОГОРТНІ ІНДЕКСИ — динаміка за групами (195 пацієнтів)</t>
  </si>
  <si>
    <t>⚠ ДЕМОНСТРАЦІЙНИЙ РОЗРАХУНОК. Показники потрібні всі для індексів, не лише VAS, CSI, LF_HF, ROM і MedicationLoad, .. наведені нижче криві ілюструють РОБОТУ МОДЕЛІ. Контрольні точки масиву — доби 0/4/8/12/21, тоді як індивідуальна модель (лист G1) працює з добами 5/10/20/40/80: ці дві схеми не є прямо порівнянними.</t>
  </si>
  <si>
    <t>F1.1. НОРМАЛІЗОВАНІ БАЛИ S (0–1) за групами та візитами</t>
  </si>
  <si>
    <t>L1 — Основна 1</t>
  </si>
  <si>
    <t>L2 — Основна 2</t>
  </si>
  <si>
    <t>L3 — Основна 3</t>
  </si>
  <si>
    <t>S — Контрольна</t>
  </si>
  <si>
    <t>Напрям</t>
  </si>
  <si>
    <t>Норма</t>
  </si>
  <si>
    <t>д0</t>
  </si>
  <si>
    <t>д4</t>
  </si>
  <si>
    <t>д8</t>
  </si>
  <si>
    <t>д12</t>
  </si>
  <si>
    <t>д21</t>
  </si>
  <si>
    <t>↑</t>
  </si>
  <si>
    <t>F1.2. ІНДЕКСИ ЗА ГРУПАМИ</t>
  </si>
  <si>
    <t>Доба 0</t>
  </si>
  <si>
    <t>Доба 4</t>
  </si>
  <si>
    <t>Доба 8</t>
  </si>
  <si>
    <t>Доба 12</t>
  </si>
  <si>
    <t>Доба 21</t>
  </si>
  <si>
    <t>⚠ Статус даних</t>
  </si>
  <si>
    <t>Графіки цього листа демонструють роботу моделі, а не повний клінічний результат.</t>
  </si>
  <si>
    <t>S = (Baseline − День) / (Baseline − Норма) для показників типу «менше — краще», і дзеркально для «більше — краще». Baseline — СЕРЕДНЄ ПО ГРУПІ на добу 0, тому кожна група нормується відносно власного вихідного рівня.</t>
  </si>
  <si>
    <t>Ваги індексів</t>
  </si>
  <si>
    <t>Використано ті самі вагові коефіцієнти, що й в індивідуальній моделі (листи 5 і 6). Домени CREI: Pain 0,30 · Neuro 0,25 · ANS 0,15 · Function 0,20 · Trophic 0,10.</t>
  </si>
  <si>
    <t>⚠ Обмеження порівняння</t>
  </si>
  <si>
    <t>Це ОПИСОВІ криві. Різниця між групами тут не перевірена статистично: для висновку про перевагу однієї групи потрібні змішані моделі з урахуванням повторних вимірювань і поправка на множинні порівняння (R, Python, SPSS).</t>
  </si>
  <si>
    <t>Заміна на реальні дані</t>
  </si>
  <si>
    <t>Після отримання фактичних вимірювань достатньо замінити значення у стовпцях L–AA листа «2024_2026» — усі формули й графіки цього листа перерахуються автоматично.</t>
  </si>
  <si>
    <t>K. ПЕРВИННА СТАТИСТИЧНА ОБРОБКА ТА ПОРІВНЯННЯ ЕФЕКТІВ ЛІКУВАННЯ</t>
  </si>
  <si>
    <t>⚠ Розрахунок ведеться на ДЕМОНСТРАЦІЙНОМУ наборі: з показників масиву «2024_2026» вихідними є лише VAS, CSI, LF_HF, ROM і MedicationLoad, решта згенеровані. Наведені нижче оцінки ілюструють роботу методики, а не клінічний результат.</t>
  </si>
  <si>
    <t>A. ОПИСОВА СТАТИСТИКА КОГОРТ (кінцева точка — доба 21)</t>
  </si>
  <si>
    <t>СЛУЖБОВИЙ БЛОК: індивідуальне покращення кожного пацієнта (не редагувати)</t>
  </si>
  <si>
    <t>Назва</t>
  </si>
  <si>
    <t>n
пацієнтів</t>
  </si>
  <si>
    <t>VAS д0
M ± SD</t>
  </si>
  <si>
    <t>VAS д21
M ± SD</t>
  </si>
  <si>
    <t>Покращення
M, частка</t>
  </si>
  <si>
    <t>SD</t>
  </si>
  <si>
    <t>95% ДІ
нижня</t>
  </si>
  <si>
    <t>95% ДІ
верхня</t>
  </si>
  <si>
    <t>Респондери
(зниження VAS ≥30%)</t>
  </si>
  <si>
    <t>CREI д21</t>
  </si>
  <si>
    <t>Ранг</t>
  </si>
  <si>
    <t>ID</t>
  </si>
  <si>
    <t>VAS д0</t>
  </si>
  <si>
    <t>VAS д21</t>
  </si>
  <si>
    <t>Покращення, частка</t>
  </si>
  <si>
    <t>Зниження VAS,
% від вихідного</t>
  </si>
  <si>
    <t>Основна 1</t>
  </si>
  <si>
    <t>Основна 2</t>
  </si>
  <si>
    <t>Основна 3</t>
  </si>
  <si>
    <t>Контрольна</t>
  </si>
  <si>
    <t>B. ПОРІВНЯННЯ КОГОРТ ІЗ КОНТРОЛЬНОЮ ГРУПОЮ (S)</t>
  </si>
  <si>
    <t>Порівняння</t>
  </si>
  <si>
    <t>Δ покращення
(різниця M)</t>
  </si>
  <si>
    <t>95% ДІ різниці
нижня</t>
  </si>
  <si>
    <t>95% ДІ різниці
верхня</t>
  </si>
  <si>
    <t>SD об’єднане</t>
  </si>
  <si>
    <t>Величина ефекту
Cohen's d</t>
  </si>
  <si>
    <t>Трактування
ефекту</t>
  </si>
  <si>
    <t>t</t>
  </si>
  <si>
    <t>df</t>
  </si>
  <si>
    <t>p (двобічне)</t>
  </si>
  <si>
    <t>Висновок</t>
  </si>
  <si>
    <t>C. ПАЦІЄНТ, ВВЕДЕНИЙ У СИСТЕМУ, ПРОТИ КОГОРТ</t>
  </si>
  <si>
    <t>C.1. Порівняння за больовим показником VAS (єдиний, що присутній в обох джерелах)</t>
  </si>
  <si>
    <t>Вихідний VAS пацієнта</t>
  </si>
  <si>
    <t>Baseline з листа «3_коефіцієнти_розширеного_аналі»</t>
  </si>
  <si>
    <t>VAS пацієнта наприкінці курсу</t>
  </si>
  <si>
    <t>Значення на 80-у добу</t>
  </si>
  <si>
    <t>Покращення пацієнта, частка</t>
  </si>
  <si>
    <t>Частка подоланого шляху до норми (норма VAS = 20 за шкалою листа 3)</t>
  </si>
  <si>
    <t>Середнє покращення по всій когорті</t>
  </si>
  <si>
    <t>Середнє по всіх 195 пацієнтах</t>
  </si>
  <si>
    <t>SD покращення по когорті</t>
  </si>
  <si>
    <t>Розкид індивідуальних результатів</t>
  </si>
  <si>
    <t>Z-оцінка пацієнта</t>
  </si>
  <si>
    <t>На скільки стандартних відхилень пацієнт відрізняється від середнього когорти</t>
  </si>
  <si>
    <t>Перцентиль пацієнта</t>
  </si>
  <si>
    <t>Частка пацієнтів когорти з ГІРШИМ або таким самим результатом</t>
  </si>
  <si>
    <t>Позиція пацієнта</t>
  </si>
  <si>
    <t>Автоматичне трактування за перцентилем</t>
  </si>
  <si>
    <t>C.2. Порівняння індексів наприкінці курсу: пацієнт проти кожної когорти</t>
  </si>
  <si>
    <t>Пацієнт
(доба 80)</t>
  </si>
  <si>
    <t>L1
(доба 21)</t>
  </si>
  <si>
    <t>L2
(доба 21)</t>
  </si>
  <si>
    <t>L3
(доба 21)</t>
  </si>
  <si>
    <t>S
(доба 21)</t>
  </si>
  <si>
    <t>Середнє
основних</t>
  </si>
  <si>
    <t>Різниця
пацієнт − осн.</t>
  </si>
  <si>
    <t>Найближча
когорта</t>
  </si>
  <si>
    <t>МЕТОДИКА ТА ОБМЕЖЕННЯ</t>
  </si>
  <si>
    <t>Що саме порівнюється</t>
  </si>
  <si>
    <t>Показник «покращення» — це частка подоланого шляху від вихідного рівня до норми: (Baseline − Кінець) ÷ (Baseline − Норма). Він безрозмірний і не залежить від шкали, тому придатний для порівняння пацієнта з когортою.</t>
  </si>
  <si>
    <t>Величина ефекту</t>
  </si>
  <si>
    <t>Cohen’s d обчислюється як різниця середніх, поділена на об’єднане стандартне відхилення. Трактування: &lt;0,2 незначний; 0,2–0,5 малий; 0,5–0,8 середній; &gt;0,8 великий. Величина ефекту інформативніша за p-значення, бо не залежить від обсягу вибірки.</t>
  </si>
  <si>
    <t>⚠ РІЗНІ СХЕМИ ВІЗИТІВ</t>
  </si>
  <si>
    <t>Пацієнт спостерігається на добах 5/10/20/40/80, когорта — на 0/4/8/12/21. Тому в блоці C зіставляються КІНЦЕВІ ТОЧКИ КУРСУ, а не однакові календарні дні. Це коректно для оцінки підсумкового результату, але НЕ дозволяє порівнювати швидкість відповіді.</t>
  </si>
  <si>
    <t>⚠ Обмеження t-критерію</t>
  </si>
  <si>
    <t>Застосовано двовибірковий t-критерій для незалежних груп на кінцевій точці. Він НЕ враховує повторних вимірювань, вихідних відмінностей між групами та множинності порівнянь (тут їх три). Для доказових висновків потрібні змішані лінійні моделі з поправкою на множинні порівняння (R, Python, SPSS). Наведені p-значення є ОРІЄНТОВНИМИ.</t>
  </si>
  <si>
    <t>⚠ Перцентиль</t>
  </si>
  <si>
    <t>Обчислюється за фактичним розподілом 195 індивідуальних результатів, без припущення про нормальність — це надійніше за Z-оцінку. Z-оцінку наведено довідково.</t>
  </si>
  <si>
    <t>Порівнянність індексів</t>
  </si>
  <si>
    <t>Індекси пацієнта й когорти рахуються за ОДНАКОВИМИ ваговими коефіцієнтами й однаковою нормалізацією, тому зіставні. Проте індивідуальний розкид індексів по когорті не обчислюється (лист F1 дає лише групові середні), тож для індексів наведено точкові оцінки без довірчих інтервалів.</t>
  </si>
  <si>
    <t>З 21 показника масиву 16 згенеровані. Усі числа цього листа демонструють РОБОТУ МЕТОДИКИ. Після заміни на реальні вимірювання всі оцінки перерахуються автоматично.</t>
  </si>
  <si>
    <t>L. ЗМІШАНА ЛІНІЙНА МОДЕЛЬ (MMRM/ANCOVA) З ПОПРАВКОЮ НА МНОЖИННІСТЬ</t>
  </si>
  <si>
    <t>Модель враховує ТРИ речі, яких не враховує звичайний t-критерій: повторні вимірювання одного пацієнта (випадковий ефект пацієнта), вихідні відмінності між групами (baseline як коваріата) та множинність трьох порівнянь (поправки Холма й Бонферроні).</t>
  </si>
  <si>
    <t>A. СПЕЦИФІКАЦІЯ МОДЕЛІ</t>
  </si>
  <si>
    <t>Рівняння</t>
  </si>
  <si>
    <t>VAS_ij = b0 + b1·Baseline_i + Група_i + Візит_j + Група×Візит + u_i + e_ij</t>
  </si>
  <si>
    <t>Випадковий ефект</t>
  </si>
  <si>
    <t>u_i — випадковий вільний член пацієнта (враховує, що п’ять вимірювань одного пацієнта не є незалежними)</t>
  </si>
  <si>
    <t>Коваріата</t>
  </si>
  <si>
    <t>Baseline_i — вихідний VAS пацієнта (усуває вплив вихідних відмінностей між групами)</t>
  </si>
  <si>
    <t>Референс</t>
  </si>
  <si>
    <t>Контрольна група S; візит доби 4</t>
  </si>
  <si>
    <t>Метод оцінювання</t>
  </si>
  <si>
    <t>REML (обмежена максимальна правдоподібність); структура коваріації — складена симетрія, обернення за формулою Шермана–Моррісона</t>
  </si>
  <si>
    <t>Обсяг</t>
  </si>
  <si>
    <t>195 пацієнтів, 780 післябазових спостережень, залишкові df = 763</t>
  </si>
  <si>
    <t>Компоненти дисперсії</t>
  </si>
  <si>
    <t>Міжпацієнтна σ²u = 0.0115 · Залишкова σ²e = 0.0292 · ICC = 0.282 (частка дисперсії, що припадає на відмінності між пацієнтами; значення 0,2–0,6 типове для клінічних повторних вимірювань)</t>
  </si>
  <si>
    <t>B. ФІКСОВАНІ ЕФЕКТИ</t>
  </si>
  <si>
    <t>Ефект</t>
  </si>
  <si>
    <t>Коефіцієнт b</t>
  </si>
  <si>
    <t>SE</t>
  </si>
  <si>
    <t>p</t>
  </si>
  <si>
    <t>Значущість</t>
  </si>
  <si>
    <t>Intercept</t>
  </si>
  <si>
    <t>***</t>
  </si>
  <si>
    <t>Вільний член моделі</t>
  </si>
  <si>
    <t>Вищий вихідний біль → вищий біль після лікування (очікувано)</t>
  </si>
  <si>
    <t>Group[L1]</t>
  </si>
  <si>
    <t>Відмінність групи від контролю на першому візиті (доба 4)</t>
  </si>
  <si>
    <t>Group[L2]</t>
  </si>
  <si>
    <t>Group[L3]</t>
  </si>
  <si>
    <t>Visit[8]</t>
  </si>
  <si>
    <t>Зміна в контрольній групі відносно доби 4 (природний перебіг)</t>
  </si>
  <si>
    <t>Visit[12]</t>
  </si>
  <si>
    <t>Visit[21]</t>
  </si>
  <si>
    <t>Group[L1]:Visit[8]</t>
  </si>
  <si>
    <t>н.з.</t>
  </si>
  <si>
    <t>ДОДАТКОВИЙ ефект групи на цьому візиті — власне дія втручання</t>
  </si>
  <si>
    <t>Group[L1]:Visit[12]</t>
  </si>
  <si>
    <t>Group[L1]:Visit[21]</t>
  </si>
  <si>
    <t>Group[L2]:Visit[8]</t>
  </si>
  <si>
    <t>Group[L2]:Visit[12]</t>
  </si>
  <si>
    <t>Group[L2]:Visit[21]</t>
  </si>
  <si>
    <t>Group[L3]:Visit[8]</t>
  </si>
  <si>
    <t>Group[L3]:Visit[12]</t>
  </si>
  <si>
    <t>Group[L3]:Visit[21]</t>
  </si>
  <si>
    <t>C. ЕФЕКТ ЛІКУВАННЯ НА КІНЦЕВІЙ ТОЧЦІ (доба 21) ІЗ ПОПРАВКОЮ НА МНОЖИННІСТЬ</t>
  </si>
  <si>
    <t>Ефект
(бали VAS)</t>
  </si>
  <si>
    <t>p сире</t>
  </si>
  <si>
    <t>p Холма</t>
  </si>
  <si>
    <t>p Бонферроні</t>
  </si>
  <si>
    <t>L1 проти S</t>
  </si>
  <si>
    <t>значущий після поправки</t>
  </si>
  <si>
    <t>L2 проти S</t>
  </si>
  <si>
    <t>L3 проти S</t>
  </si>
  <si>
    <t>Знак «−» означає БІЛЬШЕ зниження болю, ніж у контрольній групі. Поправка Холма менш консервативна за Бонферроні й тому є методом вибору.</t>
  </si>
  <si>
    <t>D. КЛАСИЧНИЙ t-КРИТЕРІЙ (для зіставлення) — рахується формулами на цьому листі</t>
  </si>
  <si>
    <t>n1</t>
  </si>
  <si>
    <t>n2</t>
  </si>
  <si>
    <t>Різниця
середніх</t>
  </si>
  <si>
    <t>Стандартний двовибірковий t-критерій із об’єднаною дисперсією (формула Стьюдента)</t>
  </si>
  <si>
    <t>МЕТОДИЧНІ ПРИМІТКИ ТА ОБМЕЖЕННЯ</t>
  </si>
  <si>
    <t>⚠ ЯК ОТРИМАНО РЕЗУЛЬТАТИ БЛОКІВ B і C</t>
  </si>
  <si>
    <t>Змішана модель НЕ обчислюється формулами електронної таблиці: REML вимагає ітеративної числової оптимізації. Наведені коефіцієнти пораховано зовнішнім розрахунком (Python: numpy + scipy, оцінювання REML, точне обернення матриці коваріацій за Шерманом–Моррісоном) на ДАНИХ ЦЬОГО Ж ФАЙЛУ і внесено як СТАТИЧНІ значення. При зміні даних масиву «2024_2026» вони НЕ перерахуються автоматично — потрібен повторний зовнішній розрахунок. Блок D, навпаки, живий і перераховується сам.</t>
  </si>
  <si>
    <t>Валідація моделі</t>
  </si>
  <si>
    <t>Модельні оцінки звірено із сирими різницями середніх на добу 21: L1 −0,624 проти сирої −0,727; L2 −1,996 проти −2,040; L3 −2,209 проти −2,233. Розбіжність (0,02–0,10 бала) — це саме поправка на вихідні відмінності між групами, що й підтверджує коректність роботи коваріати.</t>
  </si>
  <si>
    <t>Чому змішана модель, а не t-критерій</t>
  </si>
  <si>
    <t>t-критерій вважає всі спостереження незалежними. Тут кожен пацієнт дає п’ять вимірювань, сильно скорельованих між собою (ICC = 0,282). Ігнорування цього ЗАНИЖУЄ стандартні похибки й завищує значущість. Змішана модель враховує цю структуру явно.</t>
  </si>
  <si>
    <t>Поправка на множинність</t>
  </si>
  <si>
    <t>Виконано три порівняння, тому ймовірність хибнопозитивного результату зростає. Поправка Холма (низхідна послідовна) контролює групову ймовірність помилки I роду й менш консервативна за Бонферроні. Наведено обидві; методом вибору є Холм.</t>
  </si>
  <si>
    <t>⚠ ГОЛОВНЕ ОБМЕЖЕННЯ</t>
  </si>
  <si>
    <t>Дані масиву є ДЕМОНСТРАЦІЙНИМИ (16 із 21 показника згенеровано). Тому наведені p-значення й довірчі інтервали характеризують РОБОТУ МЕТОДИКИ, а не клінічну ефективність АПК. Для реального доказового висновку потрібні фактичні вимірювання, попередньо зареєстрований протокол аналізу та незалежна перевірка статистиком.</t>
  </si>
  <si>
    <t>Відтворюваність</t>
  </si>
  <si>
    <t>Повний код розрахунку моделі є детермінованим і не містить випадкових елементів. За тих самих даних результат відтворюється точно. Специфікацію моделі наведено у блоці A — цього достатньо для незалежного перерахунку в R (lme4/nlme), Python (statsmodels) чи SPSS (MIXED).</t>
  </si>
  <si>
    <t>G. ТРЕНДОВІ ДІАГРАМИ ДИНАМІКИ</t>
  </si>
  <si>
    <t>Візуалізація динаміки ключових показників за групами. Замінює попередній лист «9_Тренд_графіки», який містив лише заголовок без даних і діаграм.</t>
  </si>
  <si>
    <t>G.1. Дані для побудови (тягнуться з листа F)</t>
  </si>
  <si>
    <t>Що показано</t>
  </si>
  <si>
    <t>Середні значення VAS у кожній групі на п’яти контрольних візитах. Ряди відповідають групам L1, L2, L3 та контрольній S у порядку рядків таблиці вище.</t>
  </si>
  <si>
    <t>Як додати інші показники</t>
  </si>
  <si>
    <t>Лист F містить готову динаміку для CSI, LF/HF, ROM і MedicationLoad. Щоб побудувати ще одну діаграму, скопіюйте блок G.1, змініть посилання на відповідні рядки листа F і вставте нову діаграму.</t>
  </si>
  <si>
    <t>⚠ Інтерпретація</t>
  </si>
  <si>
    <t>Середні за групою приховують індивідуальну варіабельність. Для клінічних висновків дивіться індивідуальні траєкторії пацієнта (листи 5, 6, 7), а не лише групові тренди.</t>
  </si>
  <si>
    <t>H. САМОПЕРЕВІРКА РОЗРАХУНКОВОЇ МОДЕЛІ</t>
  </si>
  <si>
    <t>Автоматичний контроль внутрішньої несуперечності ядра. Лист для інженерного супроводу: запускається після будь-якої зміни ваг, додавання показників чи редагування формул. Усі перевірки мають показувати «OK».</t>
  </si>
  <si>
    <t>Очікуване значення</t>
  </si>
  <si>
    <t>Фактично</t>
  </si>
  <si>
    <t>Що робити при відхиленні</t>
  </si>
  <si>
    <t>Сума ефективних ваг MI (лист 5)</t>
  </si>
  <si>
    <t>1,000</t>
  </si>
  <si>
    <t>Перевірити стовпець «Дост.» — щонайменше один маркер має бути доступним</t>
  </si>
  <si>
    <t>Сума ефективних ваг CEI (лист 6)</t>
  </si>
  <si>
    <t>Перевірити коди компонентів у стовпці B листа 6</t>
  </si>
  <si>
    <t>Сума ефективних ваг FRI (лист 6)</t>
  </si>
  <si>
    <t>Перевірити коди компонентів FRI</t>
  </si>
  <si>
    <t>Сума ефективних ваг DMI (лист 6)</t>
  </si>
  <si>
    <t>Перевірити коди компонентів DMI</t>
  </si>
  <si>
    <t>Сума ваг доменів CREI (лист 6)</t>
  </si>
  <si>
    <t>Відкоригувати жовті комірки ваг доменів</t>
  </si>
  <si>
    <t>Кількість точок у довіднику</t>
  </si>
  <si>
    <t>232</t>
  </si>
  <si>
    <t>Перевірити цілість листа довідника</t>
  </si>
  <si>
    <t>Нозологій з повним набором «6+1»</t>
  </si>
  <si>
    <t>116</t>
  </si>
  <si>
    <t>Перевірити лист «6+1_зони_підсумок»</t>
  </si>
  <si>
    <t>Нозологій з прецизійним набором</t>
  </si>
  <si>
    <t>Перевірити стовпці AK–AP листа «Терапія_по_зонах»</t>
  </si>
  <si>
    <t>Показників у словнику параметрів</t>
  </si>
  <si>
    <t>60</t>
  </si>
  <si>
    <t>Перевірити лист «8_параметричны описи»</t>
  </si>
  <si>
    <t>Спостережень у наборі даних</t>
  </si>
  <si>
    <t>975</t>
  </si>
  <si>
    <t>Оновити діапазони формул листа F, якщо набір поповнено</t>
  </si>
  <si>
    <t>ЗАГАЛЬНИЙ СТАТУС МОДЕЛІ</t>
  </si>
  <si>
    <t>Коли запускати</t>
  </si>
  <si>
    <t>Після кожної зміни вагових коефіцієнтів, додавання показників чи нозологій, редагування формул або поповнення набору даних. Перед формуванням будь-якого звіту.</t>
  </si>
  <si>
    <t>Як оновити</t>
  </si>
  <si>
    <t>Відкрити файл і виконати повний перерахунок (у LibreOffice — Ctrl+Shift+F9, у Excel — Ctrl+Alt+F9), після чого перевірити стовпець «Статус».</t>
  </si>
  <si>
    <t>Обмеження</t>
  </si>
  <si>
    <t>Лист перевіряє СТРУКТУРНУ цілісність (суми ваг, кількість записів, наявність зв’язків). Він не перевіряє клінічну коректність вибору точок чи калібрування шкал — це предмет експертної та клінічної валідації.</t>
  </si>
  <si>
    <t>I. ЖУРНАЛ ВЕРСІЙ ТА КОНТРОЛЬ ЗМІН</t>
  </si>
  <si>
    <t>Обов’язковий елемент керування конфігурацією програмного компонента медичного виробу (IEC 62304). Фіксує, що саме, коли та ким змінено в розрахунковому ядрі — без цього неможливо відтворити результат минулого розрахунку й довести його валідність.</t>
  </si>
  <si>
    <t>Версія</t>
  </si>
  <si>
    <t>Лист / модуль</t>
  </si>
  <si>
    <t>Суть зміни</t>
  </si>
  <si>
    <t>Причина</t>
  </si>
  <si>
    <t>Вплив на розрахунок</t>
  </si>
  <si>
    <t>Автор</t>
  </si>
  <si>
    <t>Верифіковано</t>
  </si>
  <si>
    <t>1.0</t>
  </si>
  <si>
    <t>Базова конфігурація</t>
  </si>
  <si>
    <t>Вихідне ядро S-matrix / CREI</t>
  </si>
  <si>
    <t>Розробка НДР 0126U003361</t>
  </si>
  <si>
    <t>н/з</t>
  </si>
  <si>
    <t>1.1</t>
  </si>
  <si>
    <t>Розширено з 67 до 232 точок ТКМ; додано 6 стовпців режимів за модальностями та стовпець застережень безпеки</t>
  </si>
  <si>
    <t>Потреба клінічного вибору зон</t>
  </si>
  <si>
    <t>Не впливає (довідник)</t>
  </si>
  <si>
    <t>1.2</t>
  </si>
  <si>
    <t>Створено зведену таблицю «6+1» для 116 нозологій; усунено 12 випадків дублювання точок між зонами</t>
  </si>
  <si>
    <t>Вимога моделі 6+1</t>
  </si>
  <si>
    <t>1.3</t>
  </si>
  <si>
    <t>Додано обладнання, першоджерела опитувальників і стандарти для 60 показників</t>
  </si>
  <si>
    <t>Метрологічна простежуваність</t>
  </si>
  <si>
    <t>1.4</t>
  </si>
  <si>
    <t>Перетворено зі статичного переліку на калькулятор MI; ROM отримав вагу 0,10; коефіцієнти переведено з тексту в числа; додано перенормування</t>
  </si>
  <si>
    <t>MI не обчислювався</t>
  </si>
  <si>
    <t>⚠ ЗМІНЮЄ MI</t>
  </si>
  <si>
    <t>1.5</t>
  </si>
  <si>
    <t>Перебудовано розрахунок: усі 13 індексів, стійкість до неповного обстеження, зведена панель</t>
  </si>
  <si>
    <t>Індекси не рахувались або ламались</t>
  </si>
  <si>
    <t>⚠ ЗМІНЮЄ ІНДЕКСИ</t>
  </si>
  <si>
    <t>1.6</t>
  </si>
  <si>
    <t>Вагові коефіцієнти переведено з тексту в числа (25 рядків)</t>
  </si>
  <si>
    <t>Блокували доменні розрахунки</t>
  </si>
  <si>
    <t>⚠ ЗМІНЮЄ ДОМЕНИ</t>
  </si>
  <si>
    <t>1.7</t>
  </si>
  <si>
    <t>Додано розширений прецизійний набір (6 стовпців) із довідника 232 точок</t>
  </si>
  <si>
    <t>Друга лінія вибору зон</t>
  </si>
  <si>
    <t>1.8</t>
  </si>
  <si>
    <t>Структура книги</t>
  </si>
  <si>
    <t>Вилучено «4_Reference_Standards» (33 однакові заглушки) та «9_Тренд_графіки» (порожній). Додано листи A–I</t>
  </si>
  <si>
    <t>Аудит корисності листів</t>
  </si>
  <si>
    <t>Не впливає</t>
  </si>
  <si>
    <t>Порядок ведення</t>
  </si>
  <si>
    <t>Кожна зміна розрахункового ядра отримує новий номер версії. Стовпець «Вплив на розрахунок» позначає, чи змінюються значення індексів — це критично для порівнянності результатів, отриманих у різні періоди.</t>
  </si>
  <si>
    <t>Дати й авторів</t>
  </si>
  <si>
    <t>Порожні комірки заповнює відповідальний за конфігурацію. Записи версій 1.0–1.8 відображають фактично виконані зміни; дати проставте відповідно до вашого журналу робіт.</t>
  </si>
  <si>
    <t>Перед підтвердженням версії запустіть лист «H_Валідація_моделі» і переконайтесь, що загальний статус — «МОДЕЛЬ ЦІЛІСНА».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</si>
</sst>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
    <numFmt numFmtId="165" formatCode="0.0%"/>
    <numFmt numFmtId="166" formatCode="0.0"/>
    <numFmt numFmtId="167" formatCode="0.0000"/>
  </numFmts>
  <fonts count="72" x14ac:knownFonts="1">
    <font>
      <sz val="11"/>
      <color theme="1"/>
      <name val="Calibri"/>
      <family val="2"/>
      <charset val="1"/>
    </font>
    <font>
      <b/>
      <sz val="14"/>
      <color rgb="FF1F4E78"/>
      <name val="Times New Roman"/>
      <charset val="1"/>
    </font>
    <font>
      <i/>
      <sz val="9"/>
      <color rgb="FF555555"/>
      <name val="Times New Roman"/>
      <charset val="1"/>
    </font>
    <font>
      <b/>
      <sz val="10"/>
      <color rgb="FFFFFFFF"/>
      <name val="Times New Roman"/>
      <charset val="1"/>
    </font>
    <font>
      <b/>
      <sz val="9"/>
      <color rgb="FFFFFFFF"/>
      <name val="Times New Roman"/>
      <charset val="1"/>
    </font>
    <font>
      <b/>
      <sz val="9"/>
      <color rgb="FF000000"/>
      <name val="Times New Roman"/>
      <charset val="1"/>
    </font>
    <font>
      <sz val="9"/>
      <color rgb="FF000000"/>
      <name val="Times New Roman"/>
      <charset val="1"/>
    </font>
    <font>
      <sz val="8"/>
      <color rgb="FF000000"/>
      <name val="Times New Roman"/>
      <charset val="1"/>
    </font>
    <font>
      <b/>
      <sz val="9"/>
      <color rgb="FF1F4E78"/>
      <name val="Times New Roman"/>
      <charset val="1"/>
    </font>
    <font>
      <sz val="8"/>
      <color rgb="FF9C0006"/>
      <name val="Times New Roman"/>
      <charset val="1"/>
    </font>
    <font>
      <b/>
      <sz val="8"/>
      <color rgb="FF9C0006"/>
      <name val="Times New Roman"/>
      <charset val="1"/>
    </font>
    <font>
      <b/>
      <sz val="11"/>
      <color rgb="FFC00000"/>
      <name val="Times New Roman"/>
      <charset val="1"/>
    </font>
    <font>
      <b/>
      <sz val="11"/>
      <color rgb="FF1F4E78"/>
      <name val="Times New Roman"/>
      <charset val="1"/>
    </font>
    <font>
      <b/>
      <sz val="9"/>
      <color rgb="FF9C0006"/>
      <name val="Times New Roman"/>
      <charset val="1"/>
    </font>
    <font>
      <b/>
      <sz val="24"/>
      <color theme="1"/>
      <name val="Segoe UI"/>
      <family val="2"/>
      <charset val="204"/>
    </font>
    <font>
      <b/>
      <sz val="18"/>
      <color theme="1"/>
      <name val="Segoe UI"/>
      <family val="2"/>
      <charset val="204"/>
    </font>
    <font>
      <b/>
      <sz val="13.5"/>
      <color theme="1"/>
      <name val="Segoe UI"/>
      <family val="2"/>
      <charset val="204"/>
    </font>
    <font>
      <sz val="11"/>
      <color theme="1"/>
      <name val="Segoe UI"/>
      <family val="2"/>
      <charset val="204"/>
    </font>
    <font>
      <b/>
      <sz val="11"/>
      <color theme="1"/>
      <name val="Segoe UI"/>
      <family val="2"/>
      <charset val="204"/>
    </font>
    <font>
      <u/>
      <sz val="11"/>
      <color theme="10"/>
      <name val="Calibri"/>
      <family val="2"/>
      <charset val="1"/>
    </font>
    <font>
      <sz val="11"/>
      <color rgb="FF464FEB"/>
      <name val="Segoe UI"/>
      <family val="2"/>
      <charset val="204"/>
    </font>
    <font>
      <b/>
      <sz val="11"/>
      <color theme="1"/>
      <name val="Calibri"/>
      <family val="2"/>
      <charset val="1"/>
    </font>
    <font>
      <b/>
      <sz val="13"/>
      <color rgb="FF1F4E78"/>
      <name val="Times New Roman"/>
      <charset val="1"/>
    </font>
    <font>
      <b/>
      <sz val="10"/>
      <color rgb="FF000000"/>
      <name val="Times New Roman"/>
      <charset val="1"/>
    </font>
    <font>
      <b/>
      <sz val="11"/>
      <color rgb="FF0000FF"/>
      <name val="Times New Roman"/>
      <charset val="1"/>
    </font>
    <font>
      <sz val="9"/>
      <color rgb="FF555555"/>
      <name val="Times New Roman"/>
      <charset val="1"/>
    </font>
    <font>
      <sz val="10"/>
      <color rgb="FF0000FF"/>
      <name val="Times New Roman"/>
      <charset val="1"/>
    </font>
    <font>
      <sz val="9"/>
      <color rgb="FF008000"/>
      <name val="Times New Roman"/>
      <charset val="1"/>
    </font>
    <font>
      <sz val="10"/>
      <color rgb="FF008000"/>
      <name val="Times New Roman"/>
      <charset val="1"/>
    </font>
    <font>
      <sz val="10"/>
      <color rgb="FF000000"/>
      <name val="Times New Roman"/>
      <charset val="1"/>
    </font>
    <font>
      <b/>
      <sz val="11"/>
      <color rgb="FF008000"/>
      <name val="Times New Roman"/>
      <charset val="1"/>
    </font>
    <font>
      <b/>
      <sz val="10"/>
      <color rgb="FF008000"/>
      <name val="Times New Roman"/>
      <charset val="1"/>
    </font>
    <font>
      <i/>
      <sz val="8"/>
      <color rgb="FF555555"/>
      <name val="Times New Roman"/>
      <charset val="1"/>
    </font>
    <font>
      <i/>
      <sz val="8"/>
      <color rgb="FF9C3314"/>
      <name val="Times New Roman"/>
      <charset val="1"/>
    </font>
    <font>
      <sz val="8"/>
      <color rgb="FF008000"/>
      <name val="Times New Roman"/>
      <charset val="1"/>
    </font>
    <font>
      <b/>
      <sz val="11"/>
      <name val="Calibri"/>
      <charset val="1"/>
    </font>
    <font>
      <b/>
      <sz val="11"/>
      <color rgb="FF000000"/>
      <name val="Times New Roman"/>
      <charset val="1"/>
    </font>
    <font>
      <b/>
      <sz val="9"/>
      <color rgb="FF9C3314"/>
      <name val="Times New Roman"/>
      <charset val="1"/>
    </font>
    <font>
      <sz val="11"/>
      <color theme="1"/>
      <name val="Cambria"/>
      <family val="1"/>
      <charset val="204"/>
    </font>
    <font>
      <b/>
      <sz val="11"/>
      <name val="Calibri"/>
      <family val="2"/>
      <charset val="204"/>
    </font>
    <font>
      <b/>
      <sz val="13"/>
      <color rgb="FFFFFFFF"/>
      <name val="Times New Roman"/>
      <charset val="1"/>
    </font>
    <font>
      <b/>
      <sz val="10"/>
      <color rgb="FF9C0006"/>
      <name val="Times New Roman"/>
      <charset val="1"/>
    </font>
    <font>
      <b/>
      <sz val="10"/>
      <color rgb="FF9C6500"/>
      <name val="Times New Roman"/>
      <charset val="1"/>
    </font>
    <font>
      <b/>
      <sz val="12"/>
      <color rgb="FF1F4E78"/>
      <name val="Times New Roman"/>
      <charset val="1"/>
    </font>
    <font>
      <b/>
      <sz val="10"/>
      <color rgb="FF1F4E78"/>
      <name val="Times New Roman"/>
      <charset val="1"/>
    </font>
    <font>
      <b/>
      <sz val="11"/>
      <color rgb="FF006100"/>
      <name val="Times New Roman"/>
      <charset val="1"/>
    </font>
    <font>
      <b/>
      <sz val="11"/>
      <color rgb="FF9C6500"/>
      <name val="Times New Roman"/>
      <charset val="1"/>
    </font>
    <font>
      <b/>
      <sz val="11"/>
      <color rgb="FF9C3314"/>
      <name val="Times New Roman"/>
      <charset val="1"/>
    </font>
    <font>
      <b/>
      <sz val="12"/>
      <color rgb="FF006100"/>
      <name val="Times New Roman"/>
      <charset val="1"/>
    </font>
    <font>
      <b/>
      <sz val="12"/>
      <color rgb="FF9C6500"/>
      <name val="Times New Roman"/>
      <charset val="1"/>
    </font>
    <font>
      <b/>
      <sz val="12"/>
      <color rgb="FF9C3314"/>
      <name val="Times New Roman"/>
      <charset val="1"/>
    </font>
    <font>
      <sz val="10"/>
      <color theme="1"/>
      <name val="Arial"/>
      <family val="2"/>
      <charset val="204"/>
    </font>
    <font>
      <sz val="11"/>
      <color rgb="FF000000"/>
      <name val="Times New Roman"/>
      <family val="1"/>
      <charset val="204"/>
    </font>
    <font>
      <b/>
      <sz val="10"/>
      <color theme="1"/>
      <name val="Arial"/>
      <family val="2"/>
      <charset val="204"/>
    </font>
    <font>
      <b/>
      <sz val="11"/>
      <color theme="1"/>
      <name val="Calibri"/>
      <family val="2"/>
      <charset val="204"/>
    </font>
    <font>
      <b/>
      <sz val="8"/>
      <color rgb="FFFFFFFF"/>
      <name val="Times New Roman"/>
      <charset val="1"/>
    </font>
    <font>
      <sz val="7"/>
      <color rgb="FF000000"/>
      <name val="Times New Roman"/>
      <charset val="1"/>
    </font>
    <font>
      <b/>
      <sz val="9"/>
      <name val="Times New Roman"/>
      <charset val="1"/>
    </font>
    <font>
      <sz val="9"/>
      <name val="Times New Roman"/>
      <charset val="1"/>
    </font>
    <font>
      <b/>
      <sz val="12"/>
      <color rgb="FF000000"/>
      <name val="Times New Roman"/>
      <charset val="1"/>
    </font>
    <font>
      <b/>
      <sz val="14"/>
      <color rgb="FF0000FF"/>
      <name val="Times New Roman"/>
      <charset val="1"/>
    </font>
    <font>
      <b/>
      <sz val="9"/>
      <color rgb="FF808080"/>
      <name val="Times New Roman"/>
      <charset val="1"/>
    </font>
    <font>
      <b/>
      <sz val="8"/>
      <color rgb="FF000000"/>
      <name val="Times New Roman"/>
      <charset val="1"/>
    </font>
    <font>
      <i/>
      <sz val="8"/>
      <color rgb="FF808080"/>
      <name val="Times New Roman"/>
      <charset val="1"/>
    </font>
    <font>
      <sz val="9"/>
      <color rgb="FF0000FF"/>
      <name val="Times New Roman"/>
      <charset val="1"/>
    </font>
    <font>
      <b/>
      <sz val="9"/>
      <color rgb="FF9C6500"/>
      <name val="Times New Roman"/>
      <charset val="1"/>
    </font>
    <font>
      <b/>
      <sz val="9"/>
      <color rgb="FF008000"/>
      <name val="Times New Roman"/>
      <charset val="1"/>
    </font>
    <font>
      <b/>
      <sz val="10"/>
      <color rgb="FF2E5E8C"/>
      <name val="Times New Roman"/>
      <charset val="1"/>
    </font>
    <font>
      <b/>
      <sz val="10"/>
      <color rgb="FF006100"/>
      <name val="Times New Roman"/>
      <charset val="1"/>
    </font>
    <font>
      <b/>
      <sz val="10"/>
      <color rgb="FF808080"/>
      <name val="Times New Roman"/>
      <charset val="1"/>
    </font>
    <font>
      <b/>
      <sz val="9"/>
      <color rgb="FF006100"/>
      <name val="Times New Roman"/>
      <charset val="1"/>
    </font>
    <font>
      <sz val="11"/>
      <color theme="1"/>
      <name val="Calibri"/>
      <family val="2"/>
      <charset val="1"/>
    </font>
  </fonts>
  <fills count="30">
    <fill>
      <patternFill patternType="none"/>
    </fill>
    <fill>
      <patternFill patternType="gray125"/>
    </fill>
    <fill>
      <patternFill patternType="solid">
        <fgColor rgb="FFC00000"/>
        <bgColor rgb="FF9C0006"/>
      </patternFill>
    </fill>
    <fill>
      <patternFill patternType="solid">
        <fgColor rgb="FF1F4E78"/>
        <bgColor rgb="FF2E5E8C"/>
      </patternFill>
    </fill>
    <fill>
      <patternFill patternType="solid">
        <fgColor rgb="FFF2F2F2"/>
        <bgColor rgb="FFF5F5F5"/>
      </patternFill>
    </fill>
    <fill>
      <patternFill patternType="solid">
        <fgColor rgb="FFFFF2CC"/>
        <bgColor rgb="FFFDF0E6"/>
      </patternFill>
    </fill>
    <fill>
      <patternFill patternType="solid">
        <fgColor rgb="FFE2EFDA"/>
        <bgColor rgb="FFE8F5E9"/>
      </patternFill>
    </fill>
    <fill>
      <patternFill patternType="solid">
        <fgColor rgb="FFFFD9CC"/>
        <bgColor rgb="FFFFE8E8"/>
      </patternFill>
    </fill>
    <fill>
      <patternFill patternType="solid">
        <fgColor rgb="FFF5F5F5"/>
        <bgColor rgb="FFF2F2F2"/>
      </patternFill>
    </fill>
    <fill>
      <patternFill patternType="solid">
        <fgColor rgb="FFDCE6F1"/>
        <bgColor rgb="FFE6E6E6"/>
      </patternFill>
    </fill>
    <fill>
      <patternFill patternType="solid">
        <fgColor rgb="FF3C8C40"/>
        <bgColor rgb="FF00A651"/>
      </patternFill>
    </fill>
    <fill>
      <patternFill patternType="solid">
        <fgColor rgb="FF7A4E1F"/>
        <bgColor rgb="FF555555"/>
      </patternFill>
    </fill>
    <fill>
      <patternFill patternType="solid">
        <fgColor rgb="FFF7FAFD"/>
        <bgColor rgb="FFF2F7FB"/>
      </patternFill>
    </fill>
    <fill>
      <patternFill patternType="solid">
        <fgColor rgb="FFC6EFCE"/>
        <bgColor rgb="FFE2EFDA"/>
      </patternFill>
    </fill>
    <fill>
      <patternFill patternType="solid">
        <fgColor rgb="FFE8F0F8"/>
        <bgColor rgb="FFF2F2F2"/>
      </patternFill>
    </fill>
    <fill>
      <patternFill patternType="solid">
        <fgColor rgb="FFE8F5E9"/>
        <bgColor rgb="FFE8F0F8"/>
      </patternFill>
    </fill>
    <fill>
      <patternFill patternType="solid">
        <fgColor rgb="FFFDF0E6"/>
        <bgColor rgb="FFFBF6EE"/>
      </patternFill>
    </fill>
    <fill>
      <patternFill patternType="solid">
        <fgColor rgb="FFC55A11"/>
        <bgColor rgb="FFE36C0A"/>
      </patternFill>
    </fill>
    <fill>
      <patternFill patternType="solid">
        <fgColor rgb="FFFFEB9C"/>
        <bgColor rgb="FFFFF2CC"/>
      </patternFill>
    </fill>
    <fill>
      <patternFill patternType="solid">
        <fgColor rgb="FF6B3FA0"/>
        <bgColor rgb="FF7030A0"/>
      </patternFill>
    </fill>
    <fill>
      <patternFill patternType="solid">
        <fgColor rgb="FF2E75B6"/>
        <bgColor rgb="FF2E5E8C"/>
      </patternFill>
    </fill>
    <fill>
      <patternFill patternType="solid">
        <fgColor rgb="FF595959"/>
        <bgColor rgb="FF555555"/>
      </patternFill>
    </fill>
    <fill>
      <patternFill patternType="solid">
        <fgColor rgb="FF2E5E8C"/>
        <bgColor rgb="FF1F4E78"/>
      </patternFill>
    </fill>
    <fill>
      <patternFill patternType="solid">
        <fgColor rgb="FFFDFAF4"/>
        <bgColor rgb="FFFBF6EE"/>
      </patternFill>
    </fill>
    <fill>
      <patternFill patternType="solid">
        <fgColor rgb="FFF2F7FB"/>
        <bgColor rgb="FFF5F5F5"/>
      </patternFill>
    </fill>
    <fill>
      <patternFill patternType="solid">
        <fgColor rgb="FFFBF6EE"/>
        <bgColor rgb="FFFDFAF4"/>
      </patternFill>
    </fill>
    <fill>
      <patternFill patternType="solid">
        <fgColor rgb="FFD9D9D9"/>
        <bgColor rgb="FFDCE6F1"/>
      </patternFill>
    </fill>
    <fill>
      <patternFill patternType="solid">
        <fgColor rgb="FFFFFFFF"/>
        <bgColor rgb="FFFDFAF4"/>
      </patternFill>
    </fill>
    <fill>
      <patternFill patternType="solid">
        <fgColor rgb="FFF3E8F8"/>
        <bgColor rgb="FFF2F2F2"/>
      </patternFill>
    </fill>
    <fill>
      <patternFill patternType="solid">
        <fgColor rgb="FFFFE8E8"/>
        <bgColor rgb="FFFDF0E6"/>
      </patternFill>
    </fill>
  </fills>
  <borders count="12">
    <border>
      <left/>
      <right/>
      <top/>
      <bottom/>
      <diagonal/>
    </border>
    <border>
      <left style="thin">
        <color rgb="FFB0B0B0"/>
      </left>
      <right style="thin">
        <color rgb="FFB0B0B0"/>
      </right>
      <top style="thin">
        <color rgb="FFB0B0B0"/>
      </top>
      <bottom style="thin">
        <color rgb="FFB0B0B0"/>
      </bottom>
      <diagonal/>
    </border>
    <border>
      <left/>
      <right style="thin">
        <color rgb="FFB0B0B0"/>
      </right>
      <top style="thin">
        <color rgb="FFB0B0B0"/>
      </top>
      <bottom style="thin">
        <color rgb="FFB0B0B0"/>
      </bottom>
      <diagonal/>
    </border>
    <border>
      <left/>
      <right/>
      <top style="thin">
        <color rgb="FFB0B0B0"/>
      </top>
      <bottom style="thin">
        <color rgb="FFB0B0B0"/>
      </bottom>
      <diagonal/>
    </border>
    <border>
      <left style="medium">
        <color rgb="FFE6E6E6"/>
      </left>
      <right style="medium">
        <color rgb="FFE6E6E6"/>
      </right>
      <top style="medium">
        <color rgb="FFE6E6E6"/>
      </top>
      <bottom style="medium">
        <color rgb="FFE6E6E6"/>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thin">
        <color rgb="FFB0B0B0"/>
      </left>
      <right style="thin">
        <color rgb="FFB0B0B0"/>
      </right>
      <top style="thin">
        <color rgb="FFB0B0B0"/>
      </top>
      <bottom/>
      <diagonal/>
    </border>
    <border>
      <left style="thin">
        <color rgb="FFB0B0B0"/>
      </left>
      <right/>
      <top style="thin">
        <color rgb="FFB0B0B0"/>
      </top>
      <bottom style="thin">
        <color rgb="FFB0B0B0"/>
      </bottom>
      <diagonal/>
    </border>
  </borders>
  <cellStyleXfs count="2">
    <xf numFmtId="0" fontId="0" fillId="0" borderId="0"/>
    <xf numFmtId="0" fontId="71" fillId="0" borderId="0"/>
  </cellStyleXfs>
  <cellXfs count="410">
    <xf numFmtId="0" fontId="0" fillId="0" borderId="0" xfId="0"/>
    <xf numFmtId="0" fontId="23" fillId="9" borderId="1" xfId="0" applyFont="1" applyFill="1" applyBorder="1" applyAlignment="1" applyProtection="1">
      <alignment horizontal="right" vertical="center" wrapText="1"/>
    </xf>
    <xf numFmtId="0" fontId="2" fillId="0" borderId="0" xfId="0" applyFont="1" applyBorder="1" applyAlignment="1" applyProtection="1">
      <alignment vertical="top" wrapText="1"/>
    </xf>
    <xf numFmtId="0" fontId="22" fillId="0" borderId="0" xfId="0" applyFont="1" applyBorder="1" applyAlignment="1" applyProtection="1">
      <alignment horizontal="left" vertical="center" wrapText="1"/>
    </xf>
    <xf numFmtId="0" fontId="17" fillId="0" borderId="0" xfId="0" applyFont="1" applyBorder="1" applyAlignment="1" applyProtection="1">
      <alignment horizontal="center" vertical="center" wrapText="1"/>
    </xf>
    <xf numFmtId="0" fontId="6" fillId="7" borderId="0" xfId="0" applyFont="1" applyFill="1" applyBorder="1" applyAlignment="1" applyProtection="1">
      <alignment horizontal="left" vertical="top" wrapText="1"/>
    </xf>
    <xf numFmtId="0" fontId="13" fillId="7" borderId="0" xfId="0" applyFont="1" applyFill="1" applyBorder="1" applyAlignment="1" applyProtection="1">
      <alignment horizontal="left" vertical="top" wrapText="1"/>
    </xf>
    <xf numFmtId="0" fontId="6" fillId="4" borderId="0" xfId="0" applyFont="1" applyFill="1" applyBorder="1" applyAlignment="1" applyProtection="1">
      <alignment horizontal="left" vertical="top" wrapText="1"/>
    </xf>
    <xf numFmtId="0" fontId="5" fillId="4" borderId="0" xfId="0" applyFont="1" applyFill="1" applyBorder="1" applyAlignment="1" applyProtection="1">
      <alignment horizontal="left" vertical="top" wrapText="1"/>
    </xf>
    <xf numFmtId="0" fontId="12" fillId="0" borderId="0" xfId="0" applyFont="1" applyBorder="1" applyAlignment="1" applyProtection="1">
      <alignment horizontal="left" vertical="top" wrapText="1"/>
    </xf>
    <xf numFmtId="0" fontId="0" fillId="0" borderId="2" xfId="0" applyBorder="1" applyAlignment="1" applyProtection="1"/>
    <xf numFmtId="0" fontId="5" fillId="4" borderId="1" xfId="0" applyFont="1" applyFill="1" applyBorder="1" applyAlignment="1" applyProtection="1">
      <alignment horizontal="left" vertical="center" wrapText="1"/>
    </xf>
    <xf numFmtId="0" fontId="3" fillId="2" borderId="0" xfId="0" applyFont="1" applyFill="1" applyBorder="1" applyAlignment="1" applyProtection="1">
      <alignment horizontal="left" vertical="center" wrapText="1"/>
    </xf>
    <xf numFmtId="0" fontId="2" fillId="0" borderId="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0" fillId="0" borderId="0" xfId="0" applyAlignment="1" applyProtection="1"/>
    <xf numFmtId="0" fontId="4" fillId="3" borderId="1" xfId="0" applyFont="1" applyFill="1" applyBorder="1" applyAlignment="1" applyProtection="1">
      <alignment horizontal="center" vertical="center" wrapText="1"/>
    </xf>
    <xf numFmtId="0" fontId="5" fillId="4" borderId="1" xfId="0" applyFont="1" applyFill="1" applyBorder="1" applyAlignment="1" applyProtection="1">
      <alignment horizontal="left" vertical="center" wrapText="1"/>
    </xf>
    <xf numFmtId="0" fontId="6" fillId="4" borderId="1" xfId="0" applyFont="1" applyFill="1" applyBorder="1" applyAlignment="1" applyProtection="1">
      <alignment horizontal="left" vertical="center" wrapText="1"/>
    </xf>
    <xf numFmtId="0" fontId="6" fillId="4" borderId="1" xfId="0" applyFont="1" applyFill="1" applyBorder="1" applyAlignment="1" applyProtection="1">
      <alignment horizontal="center" vertical="center" wrapText="1"/>
    </xf>
    <xf numFmtId="0" fontId="7" fillId="4" borderId="1" xfId="0" applyFont="1" applyFill="1" applyBorder="1" applyAlignment="1" applyProtection="1">
      <alignment horizontal="left" vertical="center" wrapText="1"/>
    </xf>
    <xf numFmtId="0" fontId="5" fillId="5" borderId="1" xfId="0" applyFont="1" applyFill="1" applyBorder="1" applyAlignment="1" applyProtection="1">
      <alignment horizontal="left" vertical="center" wrapText="1"/>
    </xf>
    <xf numFmtId="0" fontId="6" fillId="5" borderId="1" xfId="0" applyFont="1" applyFill="1" applyBorder="1" applyAlignment="1" applyProtection="1">
      <alignment horizontal="left" vertical="center" wrapText="1"/>
    </xf>
    <xf numFmtId="0" fontId="6" fillId="5"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xf>
    <xf numFmtId="0" fontId="7" fillId="5" borderId="1" xfId="0" applyFont="1" applyFill="1" applyBorder="1" applyAlignment="1" applyProtection="1">
      <alignment horizontal="left" vertical="center" wrapText="1"/>
    </xf>
    <xf numFmtId="0" fontId="5" fillId="6" borderId="1" xfId="0" applyFont="1" applyFill="1" applyBorder="1" applyAlignment="1" applyProtection="1">
      <alignment horizontal="left" vertical="center" wrapText="1"/>
    </xf>
    <xf numFmtId="0" fontId="6" fillId="6" borderId="1" xfId="0" applyFont="1" applyFill="1" applyBorder="1" applyAlignment="1" applyProtection="1">
      <alignment horizontal="left" vertical="center" wrapText="1"/>
    </xf>
    <xf numFmtId="0" fontId="6" fillId="6" borderId="1" xfId="0" applyFont="1" applyFill="1" applyBorder="1" applyAlignment="1" applyProtection="1">
      <alignment horizontal="center" vertical="center" wrapText="1"/>
    </xf>
    <xf numFmtId="0" fontId="7" fillId="6" borderId="1" xfId="0" applyFont="1" applyFill="1" applyBorder="1" applyAlignment="1" applyProtection="1">
      <alignment horizontal="left" vertical="center" wrapText="1"/>
    </xf>
    <xf numFmtId="0" fontId="8" fillId="6" borderId="1" xfId="0" applyFont="1" applyFill="1" applyBorder="1" applyAlignment="1" applyProtection="1">
      <alignment horizontal="center" vertical="center" wrapText="1"/>
    </xf>
    <xf numFmtId="0" fontId="9" fillId="6" borderId="1" xfId="0" applyFont="1" applyFill="1" applyBorder="1" applyAlignment="1" applyProtection="1">
      <alignment horizontal="left" vertical="center" wrapText="1"/>
    </xf>
    <xf numFmtId="0" fontId="10" fillId="4" borderId="1" xfId="0" applyFont="1" applyFill="1" applyBorder="1" applyAlignment="1" applyProtection="1">
      <alignment horizontal="left" vertical="center" wrapText="1"/>
    </xf>
    <xf numFmtId="0" fontId="8" fillId="4" borderId="1" xfId="0" applyFont="1" applyFill="1" applyBorder="1" applyAlignment="1" applyProtection="1">
      <alignment horizontal="center" vertical="center" wrapText="1"/>
    </xf>
    <xf numFmtId="0" fontId="0" fillId="0" borderId="2" xfId="0" applyBorder="1" applyAlignment="1" applyProtection="1"/>
    <xf numFmtId="0" fontId="0" fillId="0" borderId="3" xfId="0" applyBorder="1" applyAlignment="1" applyProtection="1"/>
    <xf numFmtId="0" fontId="11" fillId="0" borderId="0" xfId="0" applyFont="1" applyAlignment="1" applyProtection="1">
      <alignment horizontal="left" vertical="center" wrapText="1"/>
    </xf>
    <xf numFmtId="0" fontId="5" fillId="7" borderId="1" xfId="0" applyFont="1" applyFill="1" applyBorder="1" applyAlignment="1" applyProtection="1">
      <alignment horizontal="left" vertical="center" wrapText="1"/>
    </xf>
    <xf numFmtId="0" fontId="6" fillId="7" borderId="1" xfId="0" applyFont="1" applyFill="1" applyBorder="1" applyAlignment="1" applyProtection="1">
      <alignment horizontal="left" vertical="center" wrapText="1"/>
    </xf>
    <xf numFmtId="0" fontId="14" fillId="0" borderId="0" xfId="0" applyFont="1" applyAlignment="1" applyProtection="1">
      <alignment vertical="center"/>
    </xf>
    <xf numFmtId="0" fontId="0" fillId="0" borderId="0" xfId="0" applyAlignment="1" applyProtection="1">
      <alignment vertical="center"/>
    </xf>
    <xf numFmtId="0" fontId="15" fillId="0" borderId="0" xfId="0" applyFont="1" applyAlignment="1" applyProtection="1">
      <alignment vertical="center"/>
    </xf>
    <xf numFmtId="0" fontId="16" fillId="0" borderId="0" xfId="0" applyFont="1" applyAlignment="1" applyProtection="1">
      <alignment vertical="center"/>
    </xf>
    <xf numFmtId="0" fontId="17" fillId="0" borderId="0" xfId="0" applyFont="1" applyAlignment="1" applyProtection="1">
      <alignment vertical="center"/>
    </xf>
    <xf numFmtId="0" fontId="0" fillId="0" borderId="0" xfId="0" applyAlignment="1" applyProtection="1">
      <alignment horizontal="left" vertical="center" indent="1"/>
    </xf>
    <xf numFmtId="0" fontId="17" fillId="0" borderId="0" xfId="0" applyFont="1" applyAlignment="1" applyProtection="1">
      <alignment horizontal="left" vertical="center" indent="1"/>
    </xf>
    <xf numFmtId="0" fontId="18" fillId="8" borderId="4" xfId="0" applyFont="1" applyFill="1" applyBorder="1" applyAlignment="1" applyProtection="1">
      <alignment horizontal="center" vertical="center" wrapText="1"/>
    </xf>
    <xf numFmtId="0" fontId="17" fillId="0" borderId="4" xfId="0" applyFont="1" applyBorder="1" applyAlignment="1" applyProtection="1">
      <alignment vertical="center" wrapText="1"/>
    </xf>
    <xf numFmtId="0" fontId="19" fillId="0" borderId="0" xfId="0" applyFont="1" applyAlignment="1" applyProtection="1">
      <alignment vertical="center"/>
    </xf>
    <xf numFmtId="0" fontId="20" fillId="0" borderId="0" xfId="0" applyFont="1" applyAlignment="1" applyProtection="1">
      <alignment vertical="center"/>
    </xf>
    <xf numFmtId="0" fontId="0" fillId="0" borderId="0" xfId="0" applyFont="1" applyAlignment="1" applyProtection="1">
      <protection locked="0"/>
    </xf>
    <xf numFmtId="0" fontId="21" fillId="0" borderId="0" xfId="0" applyFont="1" applyAlignment="1" applyProtection="1">
      <alignment horizontal="center" vertical="center" wrapText="1"/>
      <protection locked="0"/>
    </xf>
    <xf numFmtId="0" fontId="21" fillId="0" borderId="0" xfId="0" applyFont="1" applyAlignment="1" applyProtection="1">
      <alignment horizontal="right" vertical="center" wrapText="1"/>
      <protection locked="0"/>
    </xf>
    <xf numFmtId="0" fontId="0" fillId="0" borderId="0" xfId="0" applyFont="1" applyAlignment="1" applyProtection="1">
      <alignment vertical="center" wrapText="1"/>
      <protection locked="0"/>
    </xf>
    <xf numFmtId="2" fontId="0" fillId="0" borderId="0" xfId="0" applyNumberFormat="1" applyAlignment="1" applyProtection="1">
      <alignment horizontal="right" vertical="center" wrapText="1"/>
      <protection locked="0"/>
    </xf>
    <xf numFmtId="0" fontId="21" fillId="0" borderId="0" xfId="0" applyFont="1" applyAlignment="1" applyProtection="1">
      <alignment vertical="center" wrapText="1"/>
      <protection locked="0"/>
    </xf>
    <xf numFmtId="0" fontId="0" fillId="0" borderId="0" xfId="0" applyAlignment="1" applyProtection="1">
      <alignment horizontal="right" vertical="center" wrapText="1"/>
      <protection locked="0"/>
    </xf>
    <xf numFmtId="2" fontId="0" fillId="0" borderId="0" xfId="0" applyNumberFormat="1" applyAlignment="1" applyProtection="1"/>
    <xf numFmtId="0" fontId="21" fillId="0" borderId="5" xfId="0" applyFont="1" applyBorder="1" applyAlignment="1" applyProtection="1">
      <alignment horizontal="center" vertical="center" wrapText="1"/>
      <protection locked="0"/>
    </xf>
    <xf numFmtId="2" fontId="0" fillId="0" borderId="0" xfId="0" applyNumberFormat="1" applyAlignment="1" applyProtection="1">
      <alignment wrapText="1"/>
    </xf>
    <xf numFmtId="2" fontId="0" fillId="0" borderId="0" xfId="0" applyNumberFormat="1" applyAlignment="1" applyProtection="1">
      <protection locked="0"/>
    </xf>
    <xf numFmtId="0" fontId="0" fillId="0" borderId="5" xfId="0" applyFont="1" applyBorder="1" applyAlignment="1" applyProtection="1">
      <alignment vertical="center" wrapText="1"/>
      <protection locked="0"/>
    </xf>
    <xf numFmtId="2" fontId="21" fillId="0" borderId="0" xfId="0" applyNumberFormat="1" applyFont="1" applyAlignment="1" applyProtection="1">
      <alignment horizontal="right" vertical="center" wrapText="1"/>
      <protection locked="0"/>
    </xf>
    <xf numFmtId="0" fontId="17" fillId="0" borderId="4" xfId="0" applyFont="1" applyBorder="1" applyAlignment="1" applyProtection="1">
      <alignment vertical="center" wrapText="1"/>
      <protection locked="0"/>
    </xf>
    <xf numFmtId="2" fontId="17" fillId="0" borderId="4" xfId="0" applyNumberFormat="1" applyFont="1" applyBorder="1" applyAlignment="1" applyProtection="1">
      <alignment vertical="center" wrapText="1"/>
      <protection locked="0"/>
    </xf>
    <xf numFmtId="0" fontId="23" fillId="9" borderId="1" xfId="0" applyFont="1" applyFill="1" applyBorder="1" applyAlignment="1" applyProtection="1">
      <alignment horizontal="right" vertical="center" wrapText="1"/>
    </xf>
    <xf numFmtId="0" fontId="24" fillId="5" borderId="1" xfId="0" applyFont="1" applyFill="1" applyBorder="1" applyAlignment="1" applyProtection="1">
      <alignment horizontal="center" vertical="center" wrapText="1"/>
      <protection locked="0"/>
    </xf>
    <xf numFmtId="0" fontId="4" fillId="10" borderId="1" xfId="0" applyFont="1" applyFill="1" applyBorder="1" applyAlignment="1" applyProtection="1">
      <alignment horizontal="center" vertical="center" wrapText="1"/>
    </xf>
    <xf numFmtId="0" fontId="4" fillId="11" borderId="1" xfId="0" applyFont="1" applyFill="1" applyBorder="1" applyAlignment="1" applyProtection="1">
      <alignment horizontal="center" vertical="center" wrapText="1"/>
    </xf>
    <xf numFmtId="0" fontId="23" fillId="0" borderId="1" xfId="0" applyFont="1" applyBorder="1" applyAlignment="1" applyProtection="1">
      <alignment horizontal="center" vertical="center" wrapText="1"/>
    </xf>
    <xf numFmtId="0" fontId="6" fillId="0" borderId="1" xfId="0" applyFont="1" applyBorder="1" applyAlignment="1" applyProtection="1">
      <alignment horizontal="left" vertical="center" wrapText="1"/>
    </xf>
    <xf numFmtId="2" fontId="26" fillId="5" borderId="1" xfId="0" applyNumberFormat="1"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wrapText="1"/>
    </xf>
    <xf numFmtId="0" fontId="27" fillId="0" borderId="1" xfId="0" applyFont="1" applyBorder="1" applyAlignment="1" applyProtection="1">
      <alignment horizontal="center" vertical="center" wrapText="1"/>
    </xf>
    <xf numFmtId="164" fontId="28" fillId="0" borderId="1" xfId="0" applyNumberFormat="1" applyFont="1" applyBorder="1" applyAlignment="1" applyProtection="1">
      <alignment horizontal="center" vertical="center" wrapText="1"/>
    </xf>
    <xf numFmtId="1" fontId="29" fillId="0" borderId="1" xfId="0" applyNumberFormat="1" applyFont="1" applyBorder="1" applyAlignment="1" applyProtection="1">
      <alignment horizontal="center" vertical="center" wrapText="1"/>
    </xf>
    <xf numFmtId="164" fontId="29" fillId="0" borderId="1" xfId="0" applyNumberFormat="1" applyFont="1" applyBorder="1" applyAlignment="1" applyProtection="1">
      <alignment horizontal="center" vertical="center" wrapText="1"/>
    </xf>
    <xf numFmtId="0" fontId="7" fillId="0" borderId="1" xfId="0" applyFont="1" applyBorder="1" applyAlignment="1" applyProtection="1">
      <alignment horizontal="left" vertical="center" wrapText="1"/>
    </xf>
    <xf numFmtId="0" fontId="23" fillId="12" borderId="1" xfId="0" applyFont="1" applyFill="1" applyBorder="1" applyAlignment="1" applyProtection="1">
      <alignment horizontal="center" vertical="center" wrapText="1"/>
    </xf>
    <xf numFmtId="0" fontId="6" fillId="12" borderId="1" xfId="0" applyFont="1" applyFill="1" applyBorder="1" applyAlignment="1" applyProtection="1">
      <alignment horizontal="left" vertical="center" wrapText="1"/>
    </xf>
    <xf numFmtId="0" fontId="6" fillId="12" borderId="1" xfId="0" applyFont="1" applyFill="1" applyBorder="1" applyAlignment="1" applyProtection="1">
      <alignment horizontal="center" vertical="center" wrapText="1"/>
    </xf>
    <xf numFmtId="0" fontId="27" fillId="12" borderId="1" xfId="0" applyFont="1" applyFill="1" applyBorder="1" applyAlignment="1" applyProtection="1">
      <alignment horizontal="center" vertical="center" wrapText="1"/>
    </xf>
    <xf numFmtId="164" fontId="28" fillId="12" borderId="1" xfId="0" applyNumberFormat="1" applyFont="1" applyFill="1" applyBorder="1" applyAlignment="1" applyProtection="1">
      <alignment horizontal="center" vertical="center" wrapText="1"/>
    </xf>
    <xf numFmtId="1" fontId="29" fillId="12" borderId="1" xfId="0" applyNumberFormat="1" applyFont="1" applyFill="1" applyBorder="1" applyAlignment="1" applyProtection="1">
      <alignment horizontal="center" vertical="center" wrapText="1"/>
    </xf>
    <xf numFmtId="164" fontId="29" fillId="12" borderId="1" xfId="0" applyNumberFormat="1" applyFont="1" applyFill="1" applyBorder="1" applyAlignment="1" applyProtection="1">
      <alignment horizontal="center" vertical="center" wrapText="1"/>
    </xf>
    <xf numFmtId="0" fontId="7" fillId="12" borderId="1" xfId="0" applyFont="1" applyFill="1" applyBorder="1" applyAlignment="1" applyProtection="1">
      <alignment horizontal="left" vertical="center" wrapText="1"/>
    </xf>
    <xf numFmtId="0" fontId="23" fillId="9" borderId="1" xfId="0" applyFont="1" applyFill="1" applyBorder="1" applyAlignment="1" applyProtection="1">
      <alignment horizontal="center" vertical="center" wrapText="1"/>
    </xf>
    <xf numFmtId="2" fontId="23" fillId="9" borderId="1" xfId="0" applyNumberFormat="1" applyFont="1" applyFill="1" applyBorder="1" applyAlignment="1" applyProtection="1">
      <alignment horizontal="center" vertical="center" wrapText="1"/>
    </xf>
    <xf numFmtId="0" fontId="7" fillId="9" borderId="1" xfId="0" applyFont="1" applyFill="1" applyBorder="1" applyAlignment="1" applyProtection="1">
      <alignment horizontal="center" vertical="center" wrapText="1"/>
    </xf>
    <xf numFmtId="0" fontId="5" fillId="9" borderId="1" xfId="0" applyFont="1" applyFill="1" applyBorder="1" applyAlignment="1" applyProtection="1">
      <alignment horizontal="center" vertical="center" wrapText="1"/>
    </xf>
    <xf numFmtId="1" fontId="23" fillId="9" borderId="1" xfId="0" applyNumberFormat="1" applyFont="1" applyFill="1" applyBorder="1" applyAlignment="1" applyProtection="1">
      <alignment horizontal="center" vertical="center" wrapText="1"/>
    </xf>
    <xf numFmtId="164" fontId="23" fillId="9" borderId="1" xfId="0" applyNumberFormat="1" applyFont="1" applyFill="1" applyBorder="1" applyAlignment="1" applyProtection="1">
      <alignment horizontal="center" vertical="center" wrapText="1"/>
    </xf>
    <xf numFmtId="0" fontId="7" fillId="9" borderId="1" xfId="0" applyFont="1" applyFill="1" applyBorder="1" applyAlignment="1" applyProtection="1">
      <alignment horizontal="left" vertical="center" wrapText="1"/>
    </xf>
    <xf numFmtId="164" fontId="23" fillId="6" borderId="1" xfId="0" applyNumberFormat="1" applyFont="1" applyFill="1" applyBorder="1" applyAlignment="1" applyProtection="1">
      <alignment horizontal="center" vertical="center" wrapText="1"/>
    </xf>
    <xf numFmtId="165" fontId="29" fillId="0" borderId="1" xfId="0" applyNumberFormat="1" applyFont="1" applyBorder="1" applyAlignment="1" applyProtection="1">
      <alignment horizontal="center" vertical="center" wrapText="1"/>
    </xf>
    <xf numFmtId="0" fontId="23" fillId="5" borderId="1" xfId="0" applyFont="1" applyFill="1" applyBorder="1" applyAlignment="1" applyProtection="1">
      <alignment horizontal="center" vertical="center" wrapText="1"/>
    </xf>
    <xf numFmtId="164" fontId="23" fillId="13" borderId="1" xfId="0" applyNumberFormat="1" applyFont="1" applyFill="1" applyBorder="1" applyAlignment="1" applyProtection="1">
      <alignment horizontal="center" vertical="center" wrapText="1"/>
    </xf>
    <xf numFmtId="165" fontId="29" fillId="5" borderId="1" xfId="0" applyNumberFormat="1" applyFont="1" applyFill="1" applyBorder="1" applyAlignment="1" applyProtection="1">
      <alignment horizontal="center" vertical="center" wrapText="1"/>
    </xf>
    <xf numFmtId="0" fontId="23" fillId="4" borderId="1" xfId="0" applyFont="1" applyFill="1" applyBorder="1" applyAlignment="1" applyProtection="1">
      <alignment horizontal="center" vertical="center" wrapText="1"/>
    </xf>
    <xf numFmtId="0" fontId="23" fillId="0" borderId="1" xfId="0" applyFont="1" applyBorder="1" applyAlignment="1" applyProtection="1">
      <alignment horizontal="left" vertical="center" wrapText="1"/>
    </xf>
    <xf numFmtId="0" fontId="5" fillId="4" borderId="1" xfId="0" applyFont="1" applyFill="1" applyBorder="1" applyAlignment="1" applyProtection="1">
      <alignment horizontal="left" vertical="top" wrapText="1"/>
    </xf>
    <xf numFmtId="0" fontId="21" fillId="0" borderId="0" xfId="0" applyFont="1" applyAlignment="1" applyProtection="1">
      <alignment horizontal="center" vertical="center" wrapText="1"/>
    </xf>
    <xf numFmtId="0" fontId="21" fillId="0" borderId="0" xfId="0" applyFont="1" applyAlignment="1" applyProtection="1">
      <alignment vertical="center" wrapText="1"/>
    </xf>
    <xf numFmtId="0" fontId="0" fillId="0" borderId="0" xfId="0" applyFont="1" applyAlignment="1" applyProtection="1">
      <alignment vertical="center" wrapText="1"/>
    </xf>
    <xf numFmtId="0" fontId="21" fillId="0" borderId="0" xfId="0" applyFont="1" applyAlignment="1" applyProtection="1">
      <alignment horizontal="right" vertical="center" wrapText="1"/>
    </xf>
    <xf numFmtId="2" fontId="21" fillId="0" borderId="0" xfId="0" applyNumberFormat="1" applyFont="1" applyAlignment="1" applyProtection="1">
      <alignment horizontal="right" vertical="center" wrapText="1"/>
    </xf>
    <xf numFmtId="2" fontId="0" fillId="0" borderId="0" xfId="0" applyNumberFormat="1" applyAlignment="1" applyProtection="1">
      <alignment horizontal="right" vertical="center" wrapText="1"/>
    </xf>
    <xf numFmtId="2" fontId="30" fillId="5" borderId="1" xfId="0" applyNumberFormat="1" applyFont="1" applyFill="1" applyBorder="1" applyAlignment="1" applyProtection="1">
      <alignment horizontal="center" vertical="center" wrapText="1"/>
    </xf>
    <xf numFmtId="2" fontId="4" fillId="3" borderId="1" xfId="0" applyNumberFormat="1" applyFont="1" applyFill="1" applyBorder="1" applyAlignment="1" applyProtection="1">
      <alignment horizontal="center" vertical="center" wrapText="1"/>
    </xf>
    <xf numFmtId="0" fontId="23" fillId="14" borderId="1" xfId="0" applyFont="1" applyFill="1" applyBorder="1" applyAlignment="1" applyProtection="1">
      <alignment horizontal="center" vertical="center" wrapText="1"/>
    </xf>
    <xf numFmtId="2" fontId="29" fillId="14" borderId="1" xfId="0" applyNumberFormat="1" applyFont="1" applyFill="1" applyBorder="1" applyAlignment="1" applyProtection="1">
      <alignment horizontal="center" vertical="center" wrapText="1"/>
    </xf>
    <xf numFmtId="2" fontId="28" fillId="14" borderId="1" xfId="0" applyNumberFormat="1" applyFont="1" applyFill="1" applyBorder="1" applyAlignment="1" applyProtection="1">
      <alignment horizontal="center" vertical="center" wrapText="1"/>
    </xf>
    <xf numFmtId="2" fontId="27" fillId="14" borderId="1" xfId="0" applyNumberFormat="1" applyFont="1" applyFill="1" applyBorder="1" applyAlignment="1" applyProtection="1">
      <alignment horizontal="center" vertical="center" wrapText="1"/>
    </xf>
    <xf numFmtId="164" fontId="28" fillId="14" borderId="1" xfId="0" applyNumberFormat="1" applyFont="1" applyFill="1" applyBorder="1" applyAlignment="1" applyProtection="1">
      <alignment horizontal="center" vertical="center" wrapText="1"/>
    </xf>
    <xf numFmtId="1" fontId="29" fillId="14" borderId="1" xfId="0" applyNumberFormat="1" applyFont="1" applyFill="1" applyBorder="1" applyAlignment="1" applyProtection="1">
      <alignment horizontal="center" vertical="center" wrapText="1"/>
    </xf>
    <xf numFmtId="164" fontId="29" fillId="14" borderId="1" xfId="0" applyNumberFormat="1" applyFont="1" applyFill="1" applyBorder="1" applyAlignment="1" applyProtection="1">
      <alignment horizontal="center" vertical="center" wrapText="1"/>
    </xf>
    <xf numFmtId="0" fontId="29" fillId="14" borderId="1" xfId="0" applyFont="1" applyFill="1" applyBorder="1" applyAlignment="1" applyProtection="1">
      <alignment horizontal="center" vertical="center" wrapText="1"/>
    </xf>
    <xf numFmtId="0" fontId="27" fillId="14" borderId="1" xfId="0" applyFont="1" applyFill="1" applyBorder="1" applyAlignment="1" applyProtection="1">
      <alignment horizontal="center" vertical="center" wrapText="1"/>
    </xf>
    <xf numFmtId="0" fontId="5" fillId="14" borderId="1" xfId="0" applyFont="1" applyFill="1" applyBorder="1" applyAlignment="1" applyProtection="1">
      <alignment horizontal="right" vertical="center" wrapText="1"/>
    </xf>
    <xf numFmtId="165" fontId="23" fillId="14" borderId="1" xfId="0" applyNumberFormat="1" applyFont="1" applyFill="1" applyBorder="1" applyAlignment="1" applyProtection="1">
      <alignment horizontal="center" vertical="center" wrapText="1"/>
    </xf>
    <xf numFmtId="0" fontId="6" fillId="14" borderId="1" xfId="0" applyFont="1" applyFill="1" applyBorder="1" applyAlignment="1" applyProtection="1">
      <alignment horizontal="center" vertical="center" wrapText="1"/>
    </xf>
    <xf numFmtId="164" fontId="23" fillId="14" borderId="1" xfId="0" applyNumberFormat="1" applyFont="1" applyFill="1" applyBorder="1" applyAlignment="1" applyProtection="1">
      <alignment horizontal="center" vertical="center" wrapText="1"/>
    </xf>
    <xf numFmtId="0" fontId="23" fillId="15" borderId="1" xfId="0" applyFont="1" applyFill="1" applyBorder="1" applyAlignment="1" applyProtection="1">
      <alignment horizontal="center" vertical="center" wrapText="1"/>
    </xf>
    <xf numFmtId="0" fontId="29" fillId="15" borderId="1" xfId="0" applyFont="1" applyFill="1" applyBorder="1" applyAlignment="1" applyProtection="1">
      <alignment horizontal="center" vertical="center" wrapText="1"/>
    </xf>
    <xf numFmtId="2" fontId="28" fillId="15" borderId="1" xfId="0" applyNumberFormat="1" applyFont="1" applyFill="1" applyBorder="1" applyAlignment="1" applyProtection="1">
      <alignment horizontal="center" vertical="center" wrapText="1"/>
    </xf>
    <xf numFmtId="0" fontId="27" fillId="15" borderId="1" xfId="0" applyFont="1" applyFill="1" applyBorder="1" applyAlignment="1" applyProtection="1">
      <alignment horizontal="center" vertical="center" wrapText="1"/>
    </xf>
    <xf numFmtId="164" fontId="28" fillId="15" borderId="1" xfId="0" applyNumberFormat="1" applyFont="1" applyFill="1" applyBorder="1" applyAlignment="1" applyProtection="1">
      <alignment horizontal="center" vertical="center" wrapText="1"/>
    </xf>
    <xf numFmtId="1" fontId="29" fillId="15" borderId="1" xfId="0" applyNumberFormat="1" applyFont="1" applyFill="1" applyBorder="1" applyAlignment="1" applyProtection="1">
      <alignment horizontal="center" vertical="center" wrapText="1"/>
    </xf>
    <xf numFmtId="164" fontId="29" fillId="15" borderId="1" xfId="0" applyNumberFormat="1" applyFont="1" applyFill="1" applyBorder="1" applyAlignment="1" applyProtection="1">
      <alignment horizontal="center" vertical="center" wrapText="1"/>
    </xf>
    <xf numFmtId="0" fontId="5" fillId="15" borderId="1" xfId="0" applyFont="1" applyFill="1" applyBorder="1" applyAlignment="1" applyProtection="1">
      <alignment horizontal="right" vertical="center" wrapText="1"/>
    </xf>
    <xf numFmtId="165" fontId="23" fillId="15" borderId="1" xfId="0" applyNumberFormat="1" applyFont="1" applyFill="1" applyBorder="1" applyAlignment="1" applyProtection="1">
      <alignment horizontal="center" vertical="center" wrapText="1"/>
    </xf>
    <xf numFmtId="0" fontId="6" fillId="15" borderId="1" xfId="0" applyFont="1" applyFill="1" applyBorder="1" applyAlignment="1" applyProtection="1">
      <alignment horizontal="center" vertical="center" wrapText="1"/>
    </xf>
    <xf numFmtId="164" fontId="23" fillId="15" borderId="1" xfId="0" applyNumberFormat="1" applyFont="1" applyFill="1" applyBorder="1" applyAlignment="1" applyProtection="1">
      <alignment horizontal="center" vertical="center" wrapText="1"/>
    </xf>
    <xf numFmtId="0" fontId="23" fillId="16" borderId="1" xfId="0" applyFont="1" applyFill="1" applyBorder="1" applyAlignment="1" applyProtection="1">
      <alignment horizontal="center" vertical="center" wrapText="1"/>
    </xf>
    <xf numFmtId="0" fontId="29" fillId="16" borderId="1" xfId="0" applyFont="1" applyFill="1" applyBorder="1" applyAlignment="1" applyProtection="1">
      <alignment horizontal="center" vertical="center" wrapText="1"/>
    </xf>
    <xf numFmtId="2" fontId="28" fillId="16" borderId="1" xfId="0" applyNumberFormat="1" applyFont="1" applyFill="1" applyBorder="1" applyAlignment="1" applyProtection="1">
      <alignment horizontal="center" vertical="center" wrapText="1"/>
    </xf>
    <xf numFmtId="0" fontId="27" fillId="16" borderId="1" xfId="0" applyFont="1" applyFill="1" applyBorder="1" applyAlignment="1" applyProtection="1">
      <alignment horizontal="center" vertical="center" wrapText="1"/>
    </xf>
    <xf numFmtId="164" fontId="28" fillId="16" borderId="1" xfId="0" applyNumberFormat="1" applyFont="1" applyFill="1" applyBorder="1" applyAlignment="1" applyProtection="1">
      <alignment horizontal="center" vertical="center" wrapText="1"/>
    </xf>
    <xf numFmtId="1" fontId="29" fillId="16" borderId="1" xfId="0" applyNumberFormat="1" applyFont="1" applyFill="1" applyBorder="1" applyAlignment="1" applyProtection="1">
      <alignment horizontal="center" vertical="center" wrapText="1"/>
    </xf>
    <xf numFmtId="164" fontId="29" fillId="16" borderId="1" xfId="0" applyNumberFormat="1" applyFont="1" applyFill="1" applyBorder="1" applyAlignment="1" applyProtection="1">
      <alignment horizontal="center" vertical="center" wrapText="1"/>
    </xf>
    <xf numFmtId="0" fontId="5" fillId="16" borderId="1" xfId="0" applyFont="1" applyFill="1" applyBorder="1" applyAlignment="1" applyProtection="1">
      <alignment horizontal="right" vertical="center" wrapText="1"/>
    </xf>
    <xf numFmtId="165" fontId="23" fillId="16" borderId="1" xfId="0" applyNumberFormat="1" applyFont="1" applyFill="1" applyBorder="1" applyAlignment="1" applyProtection="1">
      <alignment horizontal="center" vertical="center" wrapText="1"/>
    </xf>
    <xf numFmtId="0" fontId="6" fillId="16" borderId="1" xfId="0" applyFont="1" applyFill="1" applyBorder="1" applyAlignment="1" applyProtection="1">
      <alignment horizontal="center" vertical="center" wrapText="1"/>
    </xf>
    <xf numFmtId="164" fontId="23" fillId="16" borderId="1" xfId="0" applyNumberFormat="1" applyFont="1" applyFill="1" applyBorder="1" applyAlignment="1" applyProtection="1">
      <alignment horizontal="center" vertical="center" wrapText="1"/>
    </xf>
    <xf numFmtId="0" fontId="27" fillId="0" borderId="1" xfId="0" applyFont="1" applyBorder="1" applyAlignment="1" applyProtection="1">
      <alignment horizontal="left" vertical="center" wrapText="1"/>
    </xf>
    <xf numFmtId="164" fontId="31" fillId="6" borderId="1" xfId="0" applyNumberFormat="1" applyFont="1" applyFill="1" applyBorder="1" applyAlignment="1" applyProtection="1">
      <alignment horizontal="center" vertical="center" wrapText="1"/>
    </xf>
    <xf numFmtId="165" fontId="28" fillId="0" borderId="1" xfId="0" applyNumberFormat="1" applyFont="1" applyBorder="1" applyAlignment="1" applyProtection="1">
      <alignment horizontal="center" vertical="center" wrapText="1"/>
    </xf>
    <xf numFmtId="0" fontId="31" fillId="0" borderId="1" xfId="0" applyFont="1" applyBorder="1" applyAlignment="1" applyProtection="1">
      <alignment horizontal="center" vertical="center" wrapText="1"/>
    </xf>
    <xf numFmtId="0" fontId="34" fillId="0" borderId="1" xfId="0" applyFont="1" applyBorder="1" applyAlignment="1" applyProtection="1">
      <alignment horizontal="left" vertical="center" wrapText="1"/>
    </xf>
    <xf numFmtId="0" fontId="31" fillId="12" borderId="1" xfId="0" applyFont="1" applyFill="1" applyBorder="1" applyAlignment="1" applyProtection="1">
      <alignment horizontal="center" vertical="center" wrapText="1"/>
    </xf>
    <xf numFmtId="0" fontId="27" fillId="12" borderId="1" xfId="0" applyFont="1" applyFill="1" applyBorder="1" applyAlignment="1" applyProtection="1">
      <alignment horizontal="left" vertical="center" wrapText="1"/>
    </xf>
    <xf numFmtId="0" fontId="34" fillId="12" borderId="1" xfId="0" applyFont="1" applyFill="1" applyBorder="1" applyAlignment="1" applyProtection="1">
      <alignment horizontal="left" vertical="center" wrapText="1"/>
    </xf>
    <xf numFmtId="9" fontId="17" fillId="0" borderId="0" xfId="0" applyNumberFormat="1" applyFont="1" applyAlignment="1" applyProtection="1">
      <alignment vertical="center"/>
    </xf>
    <xf numFmtId="9" fontId="0" fillId="0" borderId="0" xfId="0" applyNumberFormat="1" applyAlignment="1" applyProtection="1"/>
    <xf numFmtId="0" fontId="35" fillId="0" borderId="0" xfId="0" applyFont="1" applyAlignment="1" applyProtection="1"/>
    <xf numFmtId="0" fontId="36" fillId="9" borderId="1" xfId="0" applyFont="1" applyFill="1" applyBorder="1" applyAlignment="1" applyProtection="1">
      <alignment horizontal="center" vertical="center" wrapText="1"/>
    </xf>
    <xf numFmtId="0" fontId="36" fillId="0" borderId="1" xfId="0" applyFont="1" applyBorder="1" applyAlignment="1" applyProtection="1">
      <alignment horizontal="left" vertical="center" wrapText="1"/>
    </xf>
    <xf numFmtId="0" fontId="29" fillId="0" borderId="1" xfId="0" applyFont="1" applyBorder="1" applyAlignment="1" applyProtection="1">
      <alignment horizontal="left" vertical="center" wrapText="1"/>
    </xf>
    <xf numFmtId="164" fontId="30" fillId="6" borderId="1" xfId="0" applyNumberFormat="1" applyFont="1" applyFill="1" applyBorder="1" applyAlignment="1" applyProtection="1">
      <alignment horizontal="center" vertical="center" wrapText="1"/>
    </xf>
    <xf numFmtId="165" fontId="30" fillId="6" borderId="1" xfId="0" applyNumberFormat="1" applyFont="1" applyFill="1" applyBorder="1" applyAlignment="1" applyProtection="1">
      <alignment horizontal="center" vertical="center" wrapText="1"/>
    </xf>
    <xf numFmtId="0" fontId="0" fillId="0" borderId="0" xfId="0" applyFont="1" applyAlignment="1" applyProtection="1">
      <alignment horizontal="right" vertical="center" wrapText="1"/>
    </xf>
    <xf numFmtId="0" fontId="38" fillId="0" borderId="6" xfId="0" applyFont="1" applyBorder="1" applyAlignment="1" applyProtection="1">
      <alignment vertical="center" wrapText="1"/>
    </xf>
    <xf numFmtId="0" fontId="38" fillId="0" borderId="7" xfId="0" applyFont="1" applyBorder="1" applyAlignment="1" applyProtection="1">
      <alignment vertical="center" wrapText="1"/>
    </xf>
    <xf numFmtId="0" fontId="38" fillId="0" borderId="8" xfId="0" applyFont="1" applyBorder="1" applyAlignment="1" applyProtection="1">
      <alignment vertical="center" wrapText="1"/>
    </xf>
    <xf numFmtId="0" fontId="38" fillId="0" borderId="9" xfId="0" applyFont="1" applyBorder="1" applyAlignment="1" applyProtection="1">
      <alignment vertical="center" wrapText="1"/>
    </xf>
    <xf numFmtId="0" fontId="6" fillId="0" borderId="1" xfId="0" applyFont="1" applyBorder="1" applyAlignment="1" applyProtection="1">
      <alignment horizontal="left" vertical="top" wrapText="1"/>
    </xf>
    <xf numFmtId="0" fontId="6" fillId="12" borderId="1" xfId="0" applyFont="1" applyFill="1" applyBorder="1" applyAlignment="1" applyProtection="1">
      <alignment horizontal="left" vertical="top" wrapText="1"/>
    </xf>
    <xf numFmtId="0" fontId="37" fillId="5" borderId="1" xfId="0" applyFont="1" applyFill="1" applyBorder="1" applyAlignment="1" applyProtection="1">
      <alignment horizontal="left" vertical="top" wrapText="1"/>
    </xf>
    <xf numFmtId="0" fontId="39" fillId="0" borderId="5" xfId="0" applyFont="1" applyBorder="1" applyAlignment="1" applyProtection="1">
      <alignment horizontal="center" vertical="top"/>
      <protection locked="0"/>
    </xf>
    <xf numFmtId="0" fontId="3" fillId="17" borderId="0" xfId="0" applyFont="1" applyFill="1" applyAlignment="1" applyProtection="1">
      <alignment horizontal="center" vertical="center"/>
      <protection locked="0"/>
    </xf>
    <xf numFmtId="0" fontId="5" fillId="0" borderId="1" xfId="0" applyFont="1" applyBorder="1" applyAlignment="1" applyProtection="1">
      <alignment horizontal="left" vertical="top" wrapText="1"/>
    </xf>
    <xf numFmtId="0" fontId="45" fillId="13" borderId="1" xfId="0" applyFont="1" applyFill="1" applyBorder="1" applyAlignment="1" applyProtection="1">
      <alignment horizontal="center" vertical="center" wrapText="1"/>
    </xf>
    <xf numFmtId="0" fontId="5" fillId="12" borderId="1" xfId="0" applyFont="1" applyFill="1" applyBorder="1" applyAlignment="1" applyProtection="1">
      <alignment horizontal="left" vertical="top" wrapText="1"/>
    </xf>
    <xf numFmtId="0" fontId="46" fillId="18" borderId="1" xfId="0" applyFont="1" applyFill="1" applyBorder="1" applyAlignment="1" applyProtection="1">
      <alignment horizontal="center" vertical="center" wrapText="1"/>
    </xf>
    <xf numFmtId="0" fontId="47" fillId="7" borderId="1" xfId="0" applyFont="1" applyFill="1" applyBorder="1" applyAlignment="1" applyProtection="1">
      <alignment horizontal="center" vertical="center" wrapText="1"/>
    </xf>
    <xf numFmtId="0" fontId="48" fillId="13" borderId="1" xfId="0" applyFont="1" applyFill="1" applyBorder="1" applyAlignment="1" applyProtection="1">
      <alignment horizontal="center" vertical="center" wrapText="1"/>
    </xf>
    <xf numFmtId="0" fontId="49" fillId="18" borderId="1" xfId="0" applyFont="1" applyFill="1" applyBorder="1" applyAlignment="1" applyProtection="1">
      <alignment horizontal="center" vertical="center" wrapText="1"/>
    </xf>
    <xf numFmtId="0" fontId="50" fillId="7" borderId="1" xfId="0" applyFont="1" applyFill="1" applyBorder="1" applyAlignment="1" applyProtection="1">
      <alignment horizontal="center" vertical="center" wrapText="1"/>
    </xf>
    <xf numFmtId="0" fontId="51" fillId="0" borderId="0" xfId="0" applyFont="1" applyAlignment="1" applyProtection="1"/>
    <xf numFmtId="0" fontId="51" fillId="0" borderId="0" xfId="0" applyFont="1" applyAlignment="1" applyProtection="1">
      <alignment horizontal="center" vertical="center"/>
    </xf>
    <xf numFmtId="0" fontId="52" fillId="0" borderId="0" xfId="0" applyFont="1" applyAlignment="1" applyProtection="1">
      <alignment vertical="center"/>
    </xf>
    <xf numFmtId="0" fontId="53" fillId="0" borderId="5" xfId="0" applyFont="1" applyBorder="1" applyAlignment="1" applyProtection="1">
      <alignment horizontal="center" vertical="center" wrapText="1"/>
    </xf>
    <xf numFmtId="0" fontId="51" fillId="0" borderId="5" xfId="0" applyFont="1" applyBorder="1" applyAlignment="1" applyProtection="1">
      <alignment vertical="center" wrapText="1"/>
    </xf>
    <xf numFmtId="0" fontId="53" fillId="0" borderId="5" xfId="0" applyFont="1" applyBorder="1" applyAlignment="1" applyProtection="1">
      <alignment vertical="center" wrapText="1"/>
    </xf>
    <xf numFmtId="0" fontId="54" fillId="0" borderId="5" xfId="0" applyFont="1" applyBorder="1" applyAlignment="1" applyProtection="1">
      <alignment horizontal="center" vertical="center" wrapText="1"/>
    </xf>
    <xf numFmtId="0" fontId="51" fillId="0" borderId="5" xfId="0" applyFont="1" applyBorder="1" applyAlignment="1" applyProtection="1">
      <alignment wrapText="1"/>
    </xf>
    <xf numFmtId="0" fontId="55" fillId="3" borderId="1" xfId="0" applyFont="1" applyFill="1" applyBorder="1" applyAlignment="1" applyProtection="1">
      <alignment horizontal="center" vertical="center" wrapText="1"/>
    </xf>
    <xf numFmtId="0" fontId="55" fillId="17" borderId="1" xfId="0" applyFont="1" applyFill="1" applyBorder="1" applyAlignment="1" applyProtection="1">
      <alignment horizontal="center" vertical="center" wrapText="1"/>
    </xf>
    <xf numFmtId="0" fontId="55" fillId="11" borderId="1" xfId="0" applyFont="1" applyFill="1" applyBorder="1" applyAlignment="1" applyProtection="1">
      <alignment horizontal="center" vertical="center" wrapText="1"/>
    </xf>
    <xf numFmtId="0" fontId="55" fillId="10" borderId="1" xfId="0" applyFont="1" applyFill="1" applyBorder="1" applyAlignment="1" applyProtection="1">
      <alignment horizontal="center" vertical="center" wrapText="1"/>
    </xf>
    <xf numFmtId="0" fontId="55" fillId="19" borderId="1" xfId="0" applyFont="1" applyFill="1" applyBorder="1" applyAlignment="1" applyProtection="1">
      <alignment horizontal="center" vertical="center" wrapText="1"/>
    </xf>
    <xf numFmtId="0" fontId="55" fillId="20" borderId="1" xfId="0" applyFont="1" applyFill="1" applyBorder="1" applyAlignment="1" applyProtection="1">
      <alignment horizontal="center" vertical="center" wrapText="1"/>
    </xf>
    <xf numFmtId="0" fontId="55" fillId="21" borderId="1" xfId="0" applyFont="1" applyFill="1" applyBorder="1" applyAlignment="1" applyProtection="1">
      <alignment horizontal="center" vertical="center" wrapText="1"/>
    </xf>
    <xf numFmtId="0" fontId="51" fillId="0" borderId="0" xfId="0" applyFont="1" applyAlignment="1" applyProtection="1">
      <alignment horizontal="left" vertical="center"/>
    </xf>
    <xf numFmtId="0" fontId="51" fillId="0" borderId="5" xfId="0" applyFont="1" applyBorder="1" applyAlignment="1" applyProtection="1">
      <alignment horizontal="center" vertical="center" wrapText="1"/>
    </xf>
    <xf numFmtId="0" fontId="51" fillId="0" borderId="5" xfId="0" applyFont="1" applyBorder="1" applyAlignment="1" applyProtection="1">
      <alignment horizontal="left" vertical="center" wrapText="1"/>
    </xf>
    <xf numFmtId="0" fontId="53" fillId="0" borderId="5" xfId="0" applyFont="1" applyBorder="1" applyAlignment="1" applyProtection="1">
      <alignment horizontal="left" vertical="center" wrapText="1"/>
    </xf>
    <xf numFmtId="0" fontId="53" fillId="0" borderId="5" xfId="0" applyFont="1" applyBorder="1" applyAlignment="1" applyProtection="1">
      <alignment horizontal="left" vertical="center" indent="1"/>
    </xf>
    <xf numFmtId="0" fontId="0" fillId="0" borderId="5" xfId="0" applyFont="1" applyBorder="1" applyAlignment="1" applyProtection="1">
      <alignment vertical="center" wrapText="1"/>
    </xf>
    <xf numFmtId="0" fontId="51" fillId="0" borderId="5" xfId="0" applyFont="1" applyBorder="1" applyAlignment="1" applyProtection="1">
      <alignment horizontal="left" vertical="center"/>
    </xf>
    <xf numFmtId="0" fontId="0" fillId="0" borderId="5" xfId="0" applyFont="1" applyBorder="1" applyAlignment="1" applyProtection="1"/>
    <xf numFmtId="0" fontId="5" fillId="0" borderId="1" xfId="0" applyFont="1" applyBorder="1" applyAlignment="1" applyProtection="1">
      <alignment horizontal="center" vertical="center" wrapText="1"/>
    </xf>
    <xf numFmtId="0" fontId="56" fillId="0" borderId="1" xfId="0" applyFont="1" applyBorder="1" applyAlignment="1" applyProtection="1">
      <alignment horizontal="left" vertical="center" wrapText="1"/>
    </xf>
    <xf numFmtId="0" fontId="7" fillId="0" borderId="1" xfId="0" applyFont="1" applyBorder="1" applyAlignment="1" applyProtection="1">
      <alignment horizontal="center" vertical="center" wrapText="1"/>
    </xf>
    <xf numFmtId="0" fontId="5" fillId="12" borderId="1" xfId="0" applyFont="1" applyFill="1" applyBorder="1" applyAlignment="1" applyProtection="1">
      <alignment horizontal="center" vertical="center" wrapText="1"/>
    </xf>
    <xf numFmtId="0" fontId="56" fillId="12" borderId="1" xfId="0" applyFont="1" applyFill="1" applyBorder="1" applyAlignment="1" applyProtection="1">
      <alignment horizontal="left" vertical="center" wrapText="1"/>
    </xf>
    <xf numFmtId="0" fontId="7" fillId="12" borderId="1" xfId="0" applyFont="1" applyFill="1" applyBorder="1" applyAlignment="1" applyProtection="1">
      <alignment horizontal="center" vertical="center" wrapText="1"/>
    </xf>
    <xf numFmtId="0" fontId="53" fillId="0" borderId="5" xfId="0" applyFont="1" applyBorder="1" applyAlignment="1" applyProtection="1">
      <alignment vertical="center"/>
    </xf>
    <xf numFmtId="0" fontId="51" fillId="0" borderId="5" xfId="0" applyFont="1" applyBorder="1" applyAlignment="1" applyProtection="1">
      <alignment horizontal="left" vertical="center" indent="1"/>
    </xf>
    <xf numFmtId="0" fontId="17" fillId="0" borderId="5" xfId="0" applyFont="1" applyBorder="1" applyAlignment="1" applyProtection="1">
      <alignment vertical="center" wrapText="1"/>
    </xf>
    <xf numFmtId="0" fontId="18" fillId="0" borderId="5" xfId="0" applyFont="1" applyBorder="1" applyAlignment="1" applyProtection="1">
      <alignment vertical="center" wrapText="1"/>
    </xf>
    <xf numFmtId="0" fontId="51" fillId="0" borderId="5" xfId="0" applyFont="1" applyBorder="1" applyAlignment="1" applyProtection="1">
      <alignment horizontal="center" vertical="center"/>
    </xf>
    <xf numFmtId="0" fontId="51" fillId="0" borderId="5" xfId="0" applyFont="1" applyBorder="1" applyAlignment="1" applyProtection="1"/>
    <xf numFmtId="0" fontId="51" fillId="0" borderId="0" xfId="0" applyFont="1" applyAlignment="1" applyProtection="1">
      <alignment horizontal="left" vertical="center" indent="1"/>
    </xf>
    <xf numFmtId="0" fontId="4" fillId="20" borderId="1" xfId="0" applyFont="1" applyFill="1" applyBorder="1" applyAlignment="1" applyProtection="1">
      <alignment horizontal="center" vertical="center" wrapText="1"/>
    </xf>
    <xf numFmtId="0" fontId="4" fillId="17" borderId="1" xfId="0" applyFont="1" applyFill="1" applyBorder="1" applyAlignment="1" applyProtection="1">
      <alignment horizontal="center" vertical="center" wrapText="1"/>
    </xf>
    <xf numFmtId="0" fontId="6" fillId="23" borderId="1" xfId="0" applyFont="1" applyFill="1" applyBorder="1" applyAlignment="1" applyProtection="1">
      <alignment horizontal="left" vertical="center" wrapText="1"/>
    </xf>
    <xf numFmtId="0" fontId="7" fillId="23" borderId="1" xfId="0" applyFont="1" applyFill="1" applyBorder="1" applyAlignment="1" applyProtection="1">
      <alignment horizontal="left" vertical="center" wrapText="1"/>
    </xf>
    <xf numFmtId="0" fontId="23" fillId="24" borderId="1" xfId="0" applyFont="1" applyFill="1" applyBorder="1" applyAlignment="1" applyProtection="1">
      <alignment horizontal="center" vertical="center" wrapText="1"/>
    </xf>
    <xf numFmtId="0" fontId="23" fillId="24" borderId="1" xfId="0" applyFont="1" applyFill="1" applyBorder="1" applyAlignment="1" applyProtection="1">
      <alignment horizontal="left" vertical="center" wrapText="1"/>
    </xf>
    <xf numFmtId="0" fontId="6" fillId="24" borderId="1" xfId="0" applyFont="1" applyFill="1" applyBorder="1" applyAlignment="1" applyProtection="1">
      <alignment horizontal="left" vertical="center" wrapText="1"/>
    </xf>
    <xf numFmtId="0" fontId="6" fillId="25" borderId="1" xfId="0" applyFont="1" applyFill="1" applyBorder="1" applyAlignment="1" applyProtection="1">
      <alignment horizontal="left" vertical="center" wrapText="1"/>
    </xf>
    <xf numFmtId="0" fontId="7" fillId="25" borderId="1" xfId="0" applyFont="1" applyFill="1" applyBorder="1" applyAlignment="1" applyProtection="1">
      <alignment horizontal="left" vertical="center" wrapText="1"/>
    </xf>
    <xf numFmtId="0" fontId="4" fillId="19"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4" fillId="22" borderId="0" xfId="0" applyFont="1" applyFill="1" applyAlignment="1" applyProtection="1">
      <alignment horizontal="center" vertical="center" wrapText="1"/>
    </xf>
    <xf numFmtId="0" fontId="13" fillId="7" borderId="1" xfId="0" applyFont="1" applyFill="1" applyBorder="1" applyAlignment="1" applyProtection="1">
      <alignment horizontal="left" vertical="top" wrapText="1"/>
    </xf>
    <xf numFmtId="0" fontId="58" fillId="0" borderId="0" xfId="0" applyFont="1" applyAlignment="1" applyProtection="1">
      <alignment horizontal="center" vertical="center"/>
    </xf>
    <xf numFmtId="0" fontId="59" fillId="9" borderId="1" xfId="0" applyFont="1" applyFill="1" applyBorder="1" applyAlignment="1" applyProtection="1">
      <alignment horizontal="right" vertical="center" wrapText="1"/>
    </xf>
    <xf numFmtId="0" fontId="60" fillId="5" borderId="1" xfId="0" applyFont="1" applyFill="1" applyBorder="1" applyAlignment="1" applyProtection="1">
      <alignment horizontal="center" vertical="center" wrapText="1"/>
      <protection locked="0"/>
    </xf>
    <xf numFmtId="0" fontId="62" fillId="26" borderId="1" xfId="0" applyFont="1" applyFill="1" applyBorder="1" applyAlignment="1" applyProtection="1">
      <alignment horizontal="center" vertical="center" wrapText="1"/>
    </xf>
    <xf numFmtId="0" fontId="34" fillId="0" borderId="1" xfId="0" applyFont="1" applyBorder="1" applyAlignment="1" applyProtection="1">
      <alignment horizontal="center" vertical="center" wrapText="1"/>
    </xf>
    <xf numFmtId="0" fontId="4" fillId="3"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4" fillId="0" borderId="1" xfId="0" applyFont="1" applyBorder="1" applyAlignment="1" applyProtection="1">
      <alignment horizontal="left" vertical="center" wrapText="1"/>
      <protection locked="0"/>
    </xf>
    <xf numFmtId="0" fontId="6" fillId="14" borderId="1" xfId="0" applyFont="1" applyFill="1" applyBorder="1" applyAlignment="1" applyProtection="1">
      <alignment horizontal="center" vertical="center" wrapText="1"/>
      <protection locked="0"/>
    </xf>
    <xf numFmtId="0" fontId="64" fillId="14" borderId="1" xfId="0" applyFont="1" applyFill="1" applyBorder="1" applyAlignment="1" applyProtection="1">
      <alignment horizontal="left" vertical="center" wrapText="1"/>
      <protection locked="0"/>
    </xf>
    <xf numFmtId="0" fontId="5" fillId="14" borderId="1" xfId="0" applyFont="1" applyFill="1" applyBorder="1" applyAlignment="1" applyProtection="1">
      <alignment horizontal="center" vertical="center" wrapText="1"/>
      <protection locked="0"/>
    </xf>
    <xf numFmtId="0" fontId="6" fillId="14" borderId="1" xfId="0" applyFont="1" applyFill="1" applyBorder="1" applyAlignment="1" applyProtection="1">
      <alignment horizontal="left" vertical="center" wrapText="1"/>
      <protection locked="0"/>
    </xf>
    <xf numFmtId="0" fontId="6" fillId="15" borderId="1" xfId="0" applyFont="1" applyFill="1" applyBorder="1" applyAlignment="1" applyProtection="1">
      <alignment horizontal="center" vertical="center" wrapText="1"/>
      <protection locked="0"/>
    </xf>
    <xf numFmtId="0" fontId="64" fillId="15" borderId="1" xfId="0" applyFont="1" applyFill="1" applyBorder="1" applyAlignment="1" applyProtection="1">
      <alignment horizontal="left" vertical="center" wrapText="1"/>
      <protection locked="0"/>
    </xf>
    <xf numFmtId="0" fontId="5" fillId="15" borderId="1" xfId="0" applyFont="1" applyFill="1" applyBorder="1" applyAlignment="1" applyProtection="1">
      <alignment horizontal="center" vertical="center" wrapText="1"/>
      <protection locked="0"/>
    </xf>
    <xf numFmtId="0" fontId="6" fillId="15" borderId="1" xfId="0" applyFont="1" applyFill="1" applyBorder="1" applyAlignment="1" applyProtection="1">
      <alignment horizontal="left" vertical="center" wrapText="1"/>
      <protection locked="0"/>
    </xf>
    <xf numFmtId="0" fontId="6" fillId="16" borderId="1" xfId="0" applyFont="1" applyFill="1" applyBorder="1" applyAlignment="1" applyProtection="1">
      <alignment horizontal="center" vertical="center" wrapText="1"/>
      <protection locked="0"/>
    </xf>
    <xf numFmtId="0" fontId="64" fillId="16" borderId="1" xfId="0" applyFont="1" applyFill="1" applyBorder="1" applyAlignment="1" applyProtection="1">
      <alignment horizontal="left" vertical="center" wrapText="1"/>
      <protection locked="0"/>
    </xf>
    <xf numFmtId="0" fontId="5" fillId="16" borderId="1" xfId="0" applyFont="1" applyFill="1" applyBorder="1" applyAlignment="1" applyProtection="1">
      <alignment horizontal="center" vertical="center" wrapText="1"/>
      <protection locked="0"/>
    </xf>
    <xf numFmtId="0" fontId="6" fillId="16" borderId="1" xfId="0" applyFont="1" applyFill="1" applyBorder="1" applyAlignment="1" applyProtection="1">
      <alignment horizontal="left" vertical="center" wrapText="1"/>
      <protection locked="0"/>
    </xf>
    <xf numFmtId="0" fontId="6" fillId="7" borderId="1"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center" vertical="center" wrapText="1"/>
      <protection locked="0"/>
    </xf>
    <xf numFmtId="0" fontId="6" fillId="7" borderId="1" xfId="0" applyFont="1" applyFill="1" applyBorder="1" applyAlignment="1" applyProtection="1">
      <alignment horizontal="left" vertical="center" wrapText="1"/>
      <protection locked="0"/>
    </xf>
    <xf numFmtId="0" fontId="13" fillId="7" borderId="1" xfId="0" applyFont="1" applyFill="1" applyBorder="1" applyAlignment="1" applyProtection="1">
      <alignment horizontal="center" vertical="center" wrapText="1"/>
      <protection locked="0"/>
    </xf>
    <xf numFmtId="0" fontId="64" fillId="27" borderId="1" xfId="0" applyFont="1" applyFill="1" applyBorder="1" applyAlignment="1" applyProtection="1">
      <alignment horizontal="left" vertical="center" wrapText="1"/>
      <protection locked="0"/>
    </xf>
    <xf numFmtId="0" fontId="7" fillId="7" borderId="1" xfId="0" applyFont="1" applyFill="1" applyBorder="1" applyAlignment="1" applyProtection="1">
      <alignment horizontal="left" vertical="center" wrapText="1"/>
      <protection locked="0"/>
    </xf>
    <xf numFmtId="0" fontId="6" fillId="5" borderId="1" xfId="0" applyFont="1" applyFill="1" applyBorder="1" applyAlignment="1" applyProtection="1">
      <alignment horizontal="center" vertical="center" wrapText="1"/>
      <protection locked="0"/>
    </xf>
    <xf numFmtId="0" fontId="5" fillId="5" borderId="1" xfId="0" applyFont="1" applyFill="1" applyBorder="1" applyAlignment="1" applyProtection="1">
      <alignment horizontal="center" vertical="center" wrapText="1"/>
      <protection locked="0"/>
    </xf>
    <xf numFmtId="0" fontId="6" fillId="5" borderId="1" xfId="0" applyFont="1" applyFill="1" applyBorder="1" applyAlignment="1" applyProtection="1">
      <alignment horizontal="left" vertical="center" wrapText="1"/>
      <protection locked="0"/>
    </xf>
    <xf numFmtId="0" fontId="65" fillId="5" borderId="1" xfId="0" applyFont="1" applyFill="1" applyBorder="1" applyAlignment="1" applyProtection="1">
      <alignment horizontal="center" vertical="center" wrapText="1"/>
      <protection locked="0"/>
    </xf>
    <xf numFmtId="0" fontId="7" fillId="5" borderId="1" xfId="0" applyFont="1" applyFill="1" applyBorder="1" applyAlignment="1" applyProtection="1">
      <alignment horizontal="left" vertical="center" wrapText="1"/>
      <protection locked="0"/>
    </xf>
    <xf numFmtId="0" fontId="13" fillId="14" borderId="1" xfId="0" applyFont="1" applyFill="1" applyBorder="1" applyAlignment="1" applyProtection="1">
      <alignment horizontal="center" vertical="center" wrapText="1"/>
      <protection locked="0"/>
    </xf>
    <xf numFmtId="0" fontId="7" fillId="14" borderId="1" xfId="0" applyFont="1" applyFill="1" applyBorder="1" applyAlignment="1" applyProtection="1">
      <alignment horizontal="left" vertical="center" wrapText="1"/>
      <protection locked="0"/>
    </xf>
    <xf numFmtId="0" fontId="65" fillId="14" borderId="1" xfId="0" applyFont="1" applyFill="1" applyBorder="1" applyAlignment="1" applyProtection="1">
      <alignment horizontal="center" vertical="center" wrapText="1"/>
      <protection locked="0"/>
    </xf>
    <xf numFmtId="0" fontId="6" fillId="4" borderId="1" xfId="0" applyFont="1" applyFill="1" applyBorder="1" applyAlignment="1" applyProtection="1">
      <alignment horizontal="center" vertical="center" wrapText="1"/>
      <protection locked="0"/>
    </xf>
    <xf numFmtId="0" fontId="5" fillId="4" borderId="1" xfId="0" applyFont="1" applyFill="1" applyBorder="1" applyAlignment="1" applyProtection="1">
      <alignment horizontal="center" vertical="center" wrapText="1"/>
      <protection locked="0"/>
    </xf>
    <xf numFmtId="0" fontId="6" fillId="4" borderId="1" xfId="0" applyFont="1" applyFill="1" applyBorder="1" applyAlignment="1" applyProtection="1">
      <alignment horizontal="left" vertical="center" wrapText="1"/>
      <protection locked="0"/>
    </xf>
    <xf numFmtId="0" fontId="13" fillId="4" borderId="1" xfId="0" applyFont="1" applyFill="1" applyBorder="1" applyAlignment="1" applyProtection="1">
      <alignment horizontal="center" vertical="center" wrapText="1"/>
      <protection locked="0"/>
    </xf>
    <xf numFmtId="0" fontId="7" fillId="4" borderId="1" xfId="0" applyFont="1" applyFill="1" applyBorder="1" applyAlignment="1" applyProtection="1">
      <alignment horizontal="left" vertical="center" wrapText="1"/>
      <protection locked="0"/>
    </xf>
    <xf numFmtId="0" fontId="65" fillId="4" borderId="1" xfId="0" applyFont="1" applyFill="1" applyBorder="1" applyAlignment="1" applyProtection="1">
      <alignment horizontal="center" vertical="center" wrapText="1"/>
      <protection locked="0"/>
    </xf>
    <xf numFmtId="0" fontId="5" fillId="0" borderId="1"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xf numFmtId="0" fontId="7" fillId="0" borderId="1" xfId="0" applyFont="1" applyBorder="1" applyAlignment="1" applyProtection="1">
      <alignment horizontal="left" vertical="center" wrapText="1"/>
      <protection locked="0"/>
    </xf>
    <xf numFmtId="0" fontId="28" fillId="0" borderId="1" xfId="0" applyFont="1" applyBorder="1" applyAlignment="1" applyProtection="1">
      <alignment horizontal="center" vertical="center" wrapText="1"/>
    </xf>
    <xf numFmtId="166" fontId="28" fillId="0" borderId="1" xfId="0" applyNumberFormat="1" applyFont="1" applyBorder="1" applyAlignment="1" applyProtection="1">
      <alignment horizontal="center" vertical="center" wrapText="1"/>
    </xf>
    <xf numFmtId="2" fontId="28" fillId="0" borderId="1" xfId="0" applyNumberFormat="1" applyFont="1" applyBorder="1" applyAlignment="1" applyProtection="1">
      <alignment horizontal="center" vertical="center" wrapText="1"/>
    </xf>
    <xf numFmtId="0" fontId="26" fillId="0" borderId="1" xfId="0" applyFont="1" applyBorder="1" applyAlignment="1" applyProtection="1">
      <alignment horizontal="center" vertical="center" wrapText="1"/>
    </xf>
    <xf numFmtId="0" fontId="5" fillId="0" borderId="1" xfId="0" applyFont="1" applyBorder="1" applyAlignment="1" applyProtection="1">
      <alignment horizontal="left" vertical="center" wrapText="1"/>
    </xf>
    <xf numFmtId="2" fontId="29" fillId="0" borderId="1" xfId="0" applyNumberFormat="1" applyFont="1" applyBorder="1" applyAlignment="1" applyProtection="1">
      <alignment horizontal="center" vertical="center" wrapText="1"/>
    </xf>
    <xf numFmtId="0" fontId="31" fillId="5" borderId="1" xfId="0" applyFont="1" applyFill="1" applyBorder="1" applyAlignment="1" applyProtection="1">
      <alignment horizontal="center" vertical="center" wrapText="1"/>
    </xf>
    <xf numFmtId="0" fontId="5" fillId="14" borderId="1" xfId="0" applyFont="1" applyFill="1" applyBorder="1" applyAlignment="1" applyProtection="1">
      <alignment horizontal="left" vertical="center" wrapText="1"/>
    </xf>
    <xf numFmtId="165" fontId="29" fillId="14" borderId="1" xfId="0" applyNumberFormat="1" applyFont="1" applyFill="1" applyBorder="1" applyAlignment="1" applyProtection="1">
      <alignment horizontal="center" vertical="center" wrapText="1"/>
    </xf>
    <xf numFmtId="164" fontId="28" fillId="6" borderId="1" xfId="0" applyNumberFormat="1" applyFont="1" applyFill="1" applyBorder="1" applyAlignment="1" applyProtection="1">
      <alignment horizontal="center" vertical="center" wrapText="1"/>
    </xf>
    <xf numFmtId="164" fontId="29" fillId="6" borderId="1" xfId="0" applyNumberFormat="1" applyFont="1" applyFill="1" applyBorder="1" applyAlignment="1" applyProtection="1">
      <alignment horizontal="center" vertical="center" wrapText="1"/>
    </xf>
    <xf numFmtId="165" fontId="29" fillId="6" borderId="1" xfId="0" applyNumberFormat="1" applyFont="1" applyFill="1" applyBorder="1" applyAlignment="1" applyProtection="1">
      <alignment horizontal="center" vertical="center" wrapText="1"/>
    </xf>
    <xf numFmtId="2" fontId="29" fillId="6" borderId="1" xfId="0" applyNumberFormat="1" applyFont="1" applyFill="1" applyBorder="1" applyAlignment="1" applyProtection="1">
      <alignment horizontal="center" vertical="center" wrapText="1"/>
    </xf>
    <xf numFmtId="0" fontId="5" fillId="16" borderId="1" xfId="0" applyFont="1" applyFill="1" applyBorder="1" applyAlignment="1" applyProtection="1">
      <alignment horizontal="left" vertical="center" wrapText="1"/>
    </xf>
    <xf numFmtId="165" fontId="29" fillId="16" borderId="1" xfId="0" applyNumberFormat="1" applyFont="1" applyFill="1" applyBorder="1" applyAlignment="1" applyProtection="1">
      <alignment horizontal="center" vertical="center" wrapText="1"/>
    </xf>
    <xf numFmtId="2" fontId="29" fillId="16" borderId="1" xfId="0" applyNumberFormat="1" applyFont="1" applyFill="1" applyBorder="1" applyAlignment="1" applyProtection="1">
      <alignment horizontal="center" vertical="center" wrapText="1"/>
    </xf>
    <xf numFmtId="0" fontId="5" fillId="28" borderId="1" xfId="0" applyFont="1" applyFill="1" applyBorder="1" applyAlignment="1" applyProtection="1">
      <alignment horizontal="left" vertical="center" wrapText="1"/>
    </xf>
    <xf numFmtId="164" fontId="28" fillId="28" borderId="1" xfId="0" applyNumberFormat="1" applyFont="1" applyFill="1" applyBorder="1" applyAlignment="1" applyProtection="1">
      <alignment horizontal="center" vertical="center" wrapText="1"/>
    </xf>
    <xf numFmtId="164" fontId="29" fillId="28" borderId="1" xfId="0" applyNumberFormat="1" applyFont="1" applyFill="1" applyBorder="1" applyAlignment="1" applyProtection="1">
      <alignment horizontal="center" vertical="center" wrapText="1"/>
    </xf>
    <xf numFmtId="165" fontId="29" fillId="28" borderId="1" xfId="0" applyNumberFormat="1" applyFont="1" applyFill="1" applyBorder="1" applyAlignment="1" applyProtection="1">
      <alignment horizontal="center" vertical="center" wrapText="1"/>
    </xf>
    <xf numFmtId="2" fontId="29" fillId="28" borderId="1" xfId="0" applyNumberFormat="1" applyFont="1" applyFill="1" applyBorder="1" applyAlignment="1" applyProtection="1">
      <alignment horizontal="center" vertical="center" wrapText="1"/>
    </xf>
    <xf numFmtId="0" fontId="6" fillId="28" borderId="1" xfId="0" applyFont="1" applyFill="1" applyBorder="1" applyAlignment="1" applyProtection="1">
      <alignment horizontal="center" vertical="center" wrapText="1"/>
    </xf>
    <xf numFmtId="0" fontId="5" fillId="29" borderId="1" xfId="0" applyFont="1" applyFill="1" applyBorder="1" applyAlignment="1" applyProtection="1">
      <alignment horizontal="left" vertical="center" wrapText="1"/>
    </xf>
    <xf numFmtId="164" fontId="28" fillId="29" borderId="1" xfId="0" applyNumberFormat="1" applyFont="1" applyFill="1" applyBorder="1" applyAlignment="1" applyProtection="1">
      <alignment horizontal="center" vertical="center" wrapText="1"/>
    </xf>
    <xf numFmtId="164" fontId="29" fillId="29" borderId="1" xfId="0" applyNumberFormat="1" applyFont="1" applyFill="1" applyBorder="1" applyAlignment="1" applyProtection="1">
      <alignment horizontal="center" vertical="center" wrapText="1"/>
    </xf>
    <xf numFmtId="165" fontId="29" fillId="29" borderId="1" xfId="0" applyNumberFormat="1" applyFont="1" applyFill="1" applyBorder="1" applyAlignment="1" applyProtection="1">
      <alignment horizontal="center" vertical="center" wrapText="1"/>
    </xf>
    <xf numFmtId="0" fontId="29" fillId="29" borderId="1" xfId="0" applyFont="1" applyFill="1" applyBorder="1" applyAlignment="1" applyProtection="1">
      <alignment horizontal="center" vertical="center" wrapText="1"/>
    </xf>
    <xf numFmtId="0" fontId="29" fillId="6" borderId="1" xfId="0" applyFont="1" applyFill="1" applyBorder="1" applyAlignment="1" applyProtection="1">
      <alignment horizontal="center" vertical="center" wrapText="1"/>
    </xf>
    <xf numFmtId="0" fontId="29" fillId="28" borderId="1" xfId="0" applyFont="1" applyFill="1" applyBorder="1" applyAlignment="1" applyProtection="1">
      <alignment horizontal="center" vertical="center" wrapText="1"/>
    </xf>
    <xf numFmtId="0" fontId="5" fillId="13" borderId="1" xfId="0" applyFont="1" applyFill="1" applyBorder="1" applyAlignment="1" applyProtection="1">
      <alignment horizontal="left" vertical="center" wrapText="1"/>
    </xf>
    <xf numFmtId="164" fontId="28" fillId="13" borderId="1" xfId="0" applyNumberFormat="1" applyFont="1" applyFill="1" applyBorder="1" applyAlignment="1" applyProtection="1">
      <alignment horizontal="center" vertical="center" wrapText="1"/>
    </xf>
    <xf numFmtId="164" fontId="29" fillId="13" borderId="1" xfId="0" applyNumberFormat="1" applyFont="1" applyFill="1" applyBorder="1" applyAlignment="1" applyProtection="1">
      <alignment horizontal="center" vertical="center" wrapText="1"/>
    </xf>
    <xf numFmtId="165" fontId="29" fillId="13" borderId="1" xfId="0" applyNumberFormat="1" applyFont="1" applyFill="1" applyBorder="1" applyAlignment="1" applyProtection="1">
      <alignment horizontal="center" vertical="center" wrapText="1"/>
    </xf>
    <xf numFmtId="0" fontId="29" fillId="13" borderId="1" xfId="0" applyFont="1" applyFill="1" applyBorder="1" applyAlignment="1" applyProtection="1">
      <alignment horizontal="center" vertical="center" wrapText="1"/>
    </xf>
    <xf numFmtId="165" fontId="31" fillId="6" borderId="1" xfId="0" applyNumberFormat="1" applyFont="1" applyFill="1" applyBorder="1" applyAlignment="1" applyProtection="1">
      <alignment horizontal="center" vertical="center" wrapText="1"/>
    </xf>
    <xf numFmtId="166" fontId="6" fillId="0" borderId="1" xfId="0" applyNumberFormat="1" applyFont="1" applyBorder="1" applyAlignment="1" applyProtection="1">
      <alignment horizontal="center" vertical="center" wrapText="1"/>
    </xf>
    <xf numFmtId="164" fontId="27" fillId="0" borderId="1" xfId="0" applyNumberFormat="1" applyFont="1" applyBorder="1" applyAlignment="1" applyProtection="1">
      <alignment horizontal="center" vertical="center" wrapText="1"/>
    </xf>
    <xf numFmtId="0" fontId="5" fillId="14" borderId="1" xfId="0" applyFont="1" applyFill="1" applyBorder="1" applyAlignment="1" applyProtection="1">
      <alignment horizontal="center" vertical="center" wrapText="1"/>
    </xf>
    <xf numFmtId="164" fontId="27" fillId="14" borderId="1" xfId="0" applyNumberFormat="1" applyFont="1" applyFill="1" applyBorder="1" applyAlignment="1" applyProtection="1">
      <alignment horizontal="center" vertical="center" wrapText="1"/>
    </xf>
    <xf numFmtId="165" fontId="6" fillId="14" borderId="1" xfId="0" applyNumberFormat="1" applyFont="1" applyFill="1" applyBorder="1" applyAlignment="1" applyProtection="1">
      <alignment horizontal="center" vertical="center" wrapText="1"/>
    </xf>
    <xf numFmtId="0" fontId="5" fillId="6" borderId="1" xfId="0" applyFont="1" applyFill="1" applyBorder="1" applyAlignment="1" applyProtection="1">
      <alignment horizontal="center" vertical="center" wrapText="1"/>
    </xf>
    <xf numFmtId="164" fontId="27" fillId="6" borderId="1" xfId="0" applyNumberFormat="1" applyFont="1" applyFill="1" applyBorder="1" applyAlignment="1" applyProtection="1">
      <alignment horizontal="center" vertical="center" wrapText="1"/>
    </xf>
    <xf numFmtId="165" fontId="6" fillId="6" borderId="1" xfId="0" applyNumberFormat="1" applyFont="1" applyFill="1" applyBorder="1" applyAlignment="1" applyProtection="1">
      <alignment horizontal="center" vertical="center" wrapText="1"/>
    </xf>
    <xf numFmtId="0" fontId="5" fillId="16" borderId="1" xfId="0" applyFont="1" applyFill="1" applyBorder="1" applyAlignment="1" applyProtection="1">
      <alignment horizontal="center" vertical="center" wrapText="1"/>
    </xf>
    <xf numFmtId="164" fontId="27" fillId="16" borderId="1" xfId="0" applyNumberFormat="1" applyFont="1" applyFill="1" applyBorder="1" applyAlignment="1" applyProtection="1">
      <alignment horizontal="center" vertical="center" wrapText="1"/>
    </xf>
    <xf numFmtId="165" fontId="6" fillId="16" borderId="1" xfId="0" applyNumberFormat="1" applyFont="1" applyFill="1" applyBorder="1" applyAlignment="1" applyProtection="1">
      <alignment horizontal="center" vertical="center" wrapText="1"/>
    </xf>
    <xf numFmtId="0" fontId="5" fillId="28" borderId="1" xfId="0" applyFont="1" applyFill="1" applyBorder="1" applyAlignment="1" applyProtection="1">
      <alignment horizontal="center" vertical="center" wrapText="1"/>
    </xf>
    <xf numFmtId="164" fontId="27" fillId="28" borderId="1" xfId="0" applyNumberFormat="1" applyFont="1" applyFill="1" applyBorder="1" applyAlignment="1" applyProtection="1">
      <alignment horizontal="center" vertical="center" wrapText="1"/>
    </xf>
    <xf numFmtId="165" fontId="6" fillId="28" borderId="1" xfId="0" applyNumberFormat="1" applyFont="1" applyFill="1" applyBorder="1" applyAlignment="1" applyProtection="1">
      <alignment horizontal="center" vertical="center" wrapText="1"/>
    </xf>
    <xf numFmtId="0" fontId="5" fillId="13" borderId="1" xfId="0" applyFont="1" applyFill="1" applyBorder="1" applyAlignment="1" applyProtection="1">
      <alignment horizontal="center" vertical="center" wrapText="1"/>
    </xf>
    <xf numFmtId="0" fontId="6" fillId="13" borderId="1" xfId="0" applyFont="1" applyFill="1" applyBorder="1" applyAlignment="1" applyProtection="1">
      <alignment horizontal="center" vertical="center" wrapText="1"/>
    </xf>
    <xf numFmtId="164" fontId="27" fillId="13" borderId="1" xfId="0" applyNumberFormat="1" applyFont="1" applyFill="1" applyBorder="1" applyAlignment="1" applyProtection="1">
      <alignment horizontal="center" vertical="center" wrapText="1"/>
    </xf>
    <xf numFmtId="165" fontId="6" fillId="13" borderId="1" xfId="0" applyNumberFormat="1" applyFont="1" applyFill="1" applyBorder="1" applyAlignment="1" applyProtection="1">
      <alignment horizontal="center" vertical="center" wrapText="1"/>
    </xf>
    <xf numFmtId="0" fontId="62" fillId="26" borderId="0" xfId="0" applyFont="1" applyFill="1" applyAlignment="1" applyProtection="1">
      <alignment horizontal="center" vertical="center" wrapText="1"/>
    </xf>
    <xf numFmtId="2" fontId="34" fillId="0" borderId="1" xfId="0" applyNumberFormat="1" applyFont="1" applyBorder="1" applyAlignment="1" applyProtection="1">
      <alignment horizontal="center" vertical="center" wrapText="1"/>
    </xf>
    <xf numFmtId="164" fontId="34" fillId="0" borderId="1" xfId="0" applyNumberFormat="1" applyFont="1" applyBorder="1" applyAlignment="1" applyProtection="1">
      <alignment horizontal="center" vertical="center" wrapText="1"/>
    </xf>
    <xf numFmtId="165" fontId="34" fillId="0" borderId="0" xfId="0" applyNumberFormat="1" applyFont="1" applyAlignment="1" applyProtection="1">
      <alignment horizontal="center" vertical="center"/>
    </xf>
    <xf numFmtId="0" fontId="28" fillId="12" borderId="1" xfId="0" applyFont="1" applyFill="1" applyBorder="1" applyAlignment="1" applyProtection="1">
      <alignment horizontal="center" vertical="center" wrapText="1"/>
    </xf>
    <xf numFmtId="165" fontId="28" fillId="12" borderId="1" xfId="0" applyNumberFormat="1" applyFont="1" applyFill="1" applyBorder="1" applyAlignment="1" applyProtection="1">
      <alignment horizontal="center" vertical="center" wrapText="1"/>
    </xf>
    <xf numFmtId="0" fontId="66" fillId="0" borderId="1" xfId="0" applyFont="1" applyBorder="1" applyAlignment="1" applyProtection="1">
      <alignment horizontal="left" vertical="center" wrapText="1"/>
    </xf>
    <xf numFmtId="2" fontId="31" fillId="6" borderId="1" xfId="0" applyNumberFormat="1" applyFont="1" applyFill="1" applyBorder="1" applyAlignment="1" applyProtection="1">
      <alignment horizontal="center" vertical="center" wrapText="1"/>
    </xf>
    <xf numFmtId="167" fontId="28" fillId="6" borderId="1" xfId="0" applyNumberFormat="1" applyFont="1" applyFill="1" applyBorder="1" applyAlignment="1" applyProtection="1">
      <alignment horizontal="center" vertical="center" wrapText="1"/>
    </xf>
    <xf numFmtId="0" fontId="8" fillId="0" borderId="1" xfId="0" applyFont="1" applyBorder="1" applyAlignment="1" applyProtection="1">
      <alignment horizontal="left" vertical="center" wrapText="1"/>
    </xf>
    <xf numFmtId="2" fontId="31" fillId="13" borderId="1" xfId="0" applyNumberFormat="1" applyFont="1" applyFill="1" applyBorder="1" applyAlignment="1" applyProtection="1">
      <alignment horizontal="center" vertical="center" wrapText="1"/>
    </xf>
    <xf numFmtId="165" fontId="31" fillId="13" borderId="1" xfId="0" applyNumberFormat="1" applyFont="1" applyFill="1" applyBorder="1" applyAlignment="1" applyProtection="1">
      <alignment horizontal="center" vertical="center" wrapText="1"/>
    </xf>
    <xf numFmtId="0" fontId="31" fillId="13" borderId="1" xfId="0" applyFont="1" applyFill="1" applyBorder="1" applyAlignment="1" applyProtection="1">
      <alignment horizontal="center" vertical="center" wrapText="1"/>
    </xf>
    <xf numFmtId="164" fontId="23" fillId="0" borderId="1" xfId="0" applyNumberFormat="1" applyFont="1" applyBorder="1" applyAlignment="1" applyProtection="1">
      <alignment horizontal="center" vertical="center" wrapText="1"/>
    </xf>
    <xf numFmtId="0" fontId="27" fillId="0" borderId="1" xfId="0" applyFont="1" applyBorder="1" applyAlignment="1" applyProtection="1">
      <alignment horizontal="center" vertical="center"/>
    </xf>
    <xf numFmtId="167" fontId="29" fillId="0" borderId="1" xfId="0" applyNumberFormat="1" applyFont="1" applyBorder="1" applyAlignment="1" applyProtection="1">
      <alignment horizontal="center" vertical="center" wrapText="1"/>
    </xf>
    <xf numFmtId="11" fontId="29" fillId="0" borderId="1" xfId="0" applyNumberFormat="1" applyFont="1" applyBorder="1" applyAlignment="1" applyProtection="1">
      <alignment horizontal="center" vertical="center" wrapText="1"/>
    </xf>
    <xf numFmtId="0" fontId="68" fillId="0" borderId="1" xfId="0" applyFont="1" applyBorder="1" applyAlignment="1" applyProtection="1">
      <alignment horizontal="center" vertical="center" wrapText="1"/>
    </xf>
    <xf numFmtId="0" fontId="5" fillId="12" borderId="1" xfId="0" applyFont="1" applyFill="1" applyBorder="1" applyAlignment="1" applyProtection="1">
      <alignment horizontal="left" vertical="center" wrapText="1"/>
    </xf>
    <xf numFmtId="167" fontId="29" fillId="12" borderId="1" xfId="0" applyNumberFormat="1" applyFont="1" applyFill="1" applyBorder="1" applyAlignment="1" applyProtection="1">
      <alignment horizontal="center" vertical="center" wrapText="1"/>
    </xf>
    <xf numFmtId="2" fontId="29" fillId="12" borderId="1" xfId="0" applyNumberFormat="1" applyFont="1" applyFill="1" applyBorder="1" applyAlignment="1" applyProtection="1">
      <alignment horizontal="center" vertical="center" wrapText="1"/>
    </xf>
    <xf numFmtId="11" fontId="29" fillId="12" borderId="1" xfId="0" applyNumberFormat="1" applyFont="1" applyFill="1" applyBorder="1" applyAlignment="1" applyProtection="1">
      <alignment horizontal="center" vertical="center" wrapText="1"/>
    </xf>
    <xf numFmtId="0" fontId="68" fillId="12" borderId="1" xfId="0" applyFont="1" applyFill="1" applyBorder="1" applyAlignment="1" applyProtection="1">
      <alignment horizontal="center" vertical="center" wrapText="1"/>
    </xf>
    <xf numFmtId="0" fontId="69" fillId="0" borderId="1" xfId="0" applyFont="1" applyBorder="1" applyAlignment="1" applyProtection="1">
      <alignment horizontal="center" vertical="center" wrapText="1"/>
    </xf>
    <xf numFmtId="11" fontId="23" fillId="13" borderId="1" xfId="0" applyNumberFormat="1" applyFont="1" applyFill="1" applyBorder="1" applyAlignment="1" applyProtection="1">
      <alignment horizontal="center" vertical="center" wrapText="1"/>
    </xf>
    <xf numFmtId="0" fontId="70" fillId="0" borderId="1" xfId="0" applyFont="1" applyBorder="1" applyAlignment="1" applyProtection="1">
      <alignment horizontal="left" vertical="center" wrapText="1"/>
    </xf>
    <xf numFmtId="167" fontId="28" fillId="0" borderId="1" xfId="0" applyNumberFormat="1" applyFont="1" applyBorder="1" applyAlignment="1" applyProtection="1">
      <alignment horizontal="center" vertical="center" wrapText="1"/>
    </xf>
    <xf numFmtId="2" fontId="31" fillId="0" borderId="1" xfId="0" applyNumberFormat="1" applyFont="1" applyBorder="1" applyAlignment="1" applyProtection="1">
      <alignment horizontal="center" vertical="center" wrapText="1"/>
    </xf>
    <xf numFmtId="11" fontId="28" fillId="0" borderId="1" xfId="0" applyNumberFormat="1" applyFont="1" applyBorder="1" applyAlignment="1" applyProtection="1">
      <alignment horizontal="center" vertical="center" wrapText="1"/>
    </xf>
    <xf numFmtId="11" fontId="28" fillId="0" borderId="1" xfId="0" applyNumberFormat="1" applyFont="1" applyBorder="1" applyAlignment="1" applyProtection="1">
      <alignment horizontal="center" vertical="center"/>
    </xf>
    <xf numFmtId="0" fontId="64" fillId="0" borderId="1"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25" fillId="0" borderId="1" xfId="0" applyFont="1" applyBorder="1" applyAlignment="1" applyProtection="1">
      <alignment horizontal="left" vertical="center" wrapText="1"/>
    </xf>
    <xf numFmtId="0" fontId="23" fillId="9" borderId="1" xfId="0" applyFont="1" applyFill="1" applyBorder="1" applyAlignment="1" applyProtection="1">
      <alignment horizontal="center" vertical="center" wrapText="1"/>
    </xf>
    <xf numFmtId="0" fontId="12" fillId="0" borderId="0" xfId="0" applyFont="1" applyBorder="1" applyAlignment="1" applyProtection="1">
      <alignment horizontal="left" vertical="center" wrapText="1"/>
    </xf>
    <xf numFmtId="0" fontId="11" fillId="0" borderId="0" xfId="0" applyFont="1" applyBorder="1" applyAlignment="1" applyProtection="1">
      <alignment horizontal="left" vertical="center" wrapText="1"/>
    </xf>
    <xf numFmtId="0" fontId="23" fillId="0" borderId="1" xfId="0" applyFont="1" applyBorder="1" applyAlignment="1" applyProtection="1">
      <alignment horizontal="left" vertical="center" wrapText="1"/>
    </xf>
    <xf numFmtId="0" fontId="5" fillId="4" borderId="1" xfId="0" applyFont="1" applyFill="1" applyBorder="1" applyAlignment="1" applyProtection="1">
      <alignment horizontal="left" vertical="top" wrapText="1"/>
    </xf>
    <xf numFmtId="0" fontId="6" fillId="4" borderId="1" xfId="0" applyFont="1" applyFill="1" applyBorder="1" applyAlignment="1" applyProtection="1">
      <alignment horizontal="left" vertical="top" wrapText="1"/>
    </xf>
    <xf numFmtId="2" fontId="25" fillId="0" borderId="1" xfId="0" applyNumberFormat="1" applyFont="1" applyBorder="1" applyAlignment="1" applyProtection="1">
      <alignment horizontal="left" vertical="center" wrapText="1"/>
    </xf>
    <xf numFmtId="0" fontId="32" fillId="0" borderId="1" xfId="0" applyFont="1" applyBorder="1" applyAlignment="1" applyProtection="1">
      <alignment horizontal="left" vertical="center" wrapText="1"/>
    </xf>
    <xf numFmtId="0" fontId="33" fillId="0" borderId="1" xfId="0" applyFont="1" applyBorder="1" applyAlignment="1" applyProtection="1">
      <alignment horizontal="left" vertical="center" wrapText="1"/>
    </xf>
    <xf numFmtId="0" fontId="37" fillId="0" borderId="0" xfId="0" applyFont="1" applyBorder="1" applyAlignment="1" applyProtection="1">
      <alignment vertical="center" wrapText="1"/>
    </xf>
    <xf numFmtId="0" fontId="40" fillId="2" borderId="0" xfId="0" applyFont="1" applyFill="1" applyBorder="1" applyAlignment="1" applyProtection="1">
      <alignment horizontal="left" vertical="top" wrapText="1"/>
      <protection locked="0"/>
    </xf>
    <xf numFmtId="0" fontId="23" fillId="6" borderId="0" xfId="0" applyFont="1" applyFill="1" applyBorder="1" applyAlignment="1" applyProtection="1">
      <alignment horizontal="left" vertical="top" wrapText="1"/>
      <protection locked="0"/>
    </xf>
    <xf numFmtId="0" fontId="41" fillId="7" borderId="0" xfId="0" applyFont="1" applyFill="1" applyBorder="1" applyAlignment="1" applyProtection="1">
      <alignment horizontal="left" vertical="top" wrapText="1"/>
      <protection locked="0"/>
    </xf>
    <xf numFmtId="0" fontId="29" fillId="5" borderId="0" xfId="0" applyFont="1" applyFill="1" applyBorder="1" applyAlignment="1" applyProtection="1">
      <alignment horizontal="left" vertical="top" wrapText="1"/>
      <protection locked="0"/>
    </xf>
    <xf numFmtId="0" fontId="29" fillId="4" borderId="0" xfId="0" applyFont="1" applyFill="1" applyBorder="1" applyAlignment="1" applyProtection="1">
      <alignment horizontal="left" vertical="top" wrapText="1"/>
      <protection locked="0"/>
    </xf>
    <xf numFmtId="0" fontId="42" fillId="5" borderId="0" xfId="0" applyFont="1" applyFill="1" applyBorder="1" applyAlignment="1" applyProtection="1">
      <alignment horizontal="left" vertical="top" wrapText="1"/>
      <protection locked="0"/>
    </xf>
    <xf numFmtId="0" fontId="43" fillId="0" borderId="0" xfId="0" applyFont="1" applyBorder="1" applyAlignment="1" applyProtection="1">
      <alignment horizontal="left" vertical="top" wrapText="1"/>
    </xf>
    <xf numFmtId="0" fontId="2" fillId="0" borderId="0" xfId="0" applyFont="1" applyBorder="1" applyAlignment="1" applyProtection="1">
      <alignment horizontal="left" vertical="top" wrapText="1"/>
    </xf>
    <xf numFmtId="0" fontId="44" fillId="9" borderId="1" xfId="0" applyFont="1" applyFill="1" applyBorder="1" applyAlignment="1" applyProtection="1">
      <alignment horizontal="left" vertical="center" wrapText="1"/>
    </xf>
    <xf numFmtId="0" fontId="6" fillId="0" borderId="1" xfId="0" applyFont="1" applyBorder="1" applyAlignment="1" applyProtection="1">
      <alignment horizontal="left" vertical="top" wrapText="1"/>
    </xf>
    <xf numFmtId="0" fontId="3" fillId="3" borderId="1" xfId="0" applyFont="1" applyFill="1" applyBorder="1" applyAlignment="1" applyProtection="1">
      <alignment horizontal="left" vertical="center" wrapText="1"/>
    </xf>
    <xf numFmtId="0" fontId="43" fillId="0" borderId="0" xfId="0" applyFont="1" applyBorder="1" applyAlignment="1" applyProtection="1">
      <alignment horizontal="left" vertical="center" wrapText="1"/>
    </xf>
    <xf numFmtId="0" fontId="3" fillId="22" borderId="10" xfId="0" applyFont="1" applyFill="1" applyBorder="1" applyAlignment="1" applyProtection="1">
      <alignment horizontal="center" vertical="center" wrapText="1"/>
    </xf>
    <xf numFmtId="0" fontId="3" fillId="3" borderId="11" xfId="0" applyFont="1" applyFill="1" applyBorder="1" applyAlignment="1" applyProtection="1">
      <alignment horizontal="center" vertical="center" wrapText="1"/>
    </xf>
    <xf numFmtId="0" fontId="3" fillId="11" borderId="11" xfId="0" applyFont="1" applyFill="1" applyBorder="1" applyAlignment="1" applyProtection="1">
      <alignment horizontal="center" vertical="center" wrapText="1"/>
    </xf>
    <xf numFmtId="0" fontId="12" fillId="0" borderId="0" xfId="0" applyFont="1" applyBorder="1" applyAlignment="1" applyProtection="1"/>
    <xf numFmtId="0" fontId="57" fillId="0" borderId="0" xfId="0" applyFont="1" applyBorder="1" applyAlignment="1" applyProtection="1">
      <alignment horizontal="left" vertical="top" wrapText="1"/>
    </xf>
    <xf numFmtId="0" fontId="58" fillId="0" borderId="0" xfId="0" applyFont="1" applyBorder="1" applyAlignment="1" applyProtection="1">
      <alignment horizontal="left" vertical="top" wrapText="1"/>
    </xf>
    <xf numFmtId="0" fontId="2" fillId="0" borderId="1" xfId="0" applyFont="1" applyBorder="1" applyAlignment="1" applyProtection="1">
      <alignment horizontal="left" vertical="center" wrapText="1"/>
    </xf>
    <xf numFmtId="0" fontId="61" fillId="0" borderId="0" xfId="0" applyFont="1" applyBorder="1" applyAlignment="1" applyProtection="1">
      <alignment horizontal="left" vertical="center" wrapText="1"/>
    </xf>
    <xf numFmtId="0" fontId="27" fillId="0" borderId="1" xfId="0" applyFont="1" applyBorder="1" applyAlignment="1" applyProtection="1">
      <alignment horizontal="left" vertical="top" wrapText="1"/>
    </xf>
    <xf numFmtId="0" fontId="13" fillId="7" borderId="1" xfId="0" applyFont="1" applyFill="1" applyBorder="1" applyAlignment="1" applyProtection="1">
      <alignment horizontal="left" vertical="top" wrapText="1"/>
    </xf>
    <xf numFmtId="0" fontId="6" fillId="7" borderId="1" xfId="0" applyFont="1" applyFill="1" applyBorder="1" applyAlignment="1" applyProtection="1">
      <alignment horizontal="left" vertical="top" wrapText="1"/>
    </xf>
    <xf numFmtId="0" fontId="22" fillId="0" borderId="0" xfId="0" applyFont="1" applyBorder="1" applyAlignment="1" applyProtection="1">
      <alignment horizontal="left" vertical="center" wrapText="1"/>
      <protection locked="0"/>
    </xf>
    <xf numFmtId="0" fontId="2" fillId="0" borderId="0" xfId="0" applyFont="1" applyBorder="1" applyAlignment="1" applyProtection="1">
      <alignment horizontal="left" vertical="center" wrapText="1"/>
      <protection locked="0"/>
    </xf>
    <xf numFmtId="0" fontId="12" fillId="0" borderId="0" xfId="0" applyFont="1" applyBorder="1" applyAlignment="1" applyProtection="1">
      <alignment horizontal="left" vertical="center" wrapText="1"/>
      <protection locked="0"/>
    </xf>
    <xf numFmtId="0" fontId="5" fillId="4" borderId="1" xfId="0" applyFont="1" applyFill="1" applyBorder="1" applyAlignment="1" applyProtection="1">
      <alignment horizontal="left" vertical="center" wrapText="1"/>
      <protection locked="0"/>
    </xf>
    <xf numFmtId="0" fontId="26" fillId="27" borderId="1" xfId="0" applyFont="1" applyFill="1" applyBorder="1" applyAlignment="1" applyProtection="1">
      <alignment horizontal="left" vertical="center" wrapText="1"/>
      <protection locked="0"/>
    </xf>
    <xf numFmtId="0" fontId="63" fillId="0" borderId="1" xfId="0" applyFont="1" applyBorder="1" applyAlignment="1" applyProtection="1">
      <alignment horizontal="left" vertical="center" wrapText="1"/>
      <protection locked="0"/>
    </xf>
    <xf numFmtId="0" fontId="5" fillId="5" borderId="1" xfId="0" applyFont="1" applyFill="1" applyBorder="1" applyAlignment="1" applyProtection="1">
      <alignment horizontal="left" vertical="center" wrapText="1"/>
      <protection locked="0"/>
    </xf>
    <xf numFmtId="0" fontId="5" fillId="4" borderId="1" xfId="0" applyFont="1" applyFill="1" applyBorder="1" applyAlignment="1" applyProtection="1">
      <alignment horizontal="left" vertical="top" wrapText="1"/>
      <protection locked="0"/>
    </xf>
    <xf numFmtId="0" fontId="6" fillId="4" borderId="1" xfId="0" applyFont="1" applyFill="1" applyBorder="1" applyAlignment="1" applyProtection="1">
      <alignment horizontal="left" vertical="top" wrapText="1"/>
      <protection locked="0"/>
    </xf>
    <xf numFmtId="0" fontId="5" fillId="9" borderId="1" xfId="0" applyFont="1" applyFill="1" applyBorder="1" applyAlignment="1" applyProtection="1">
      <alignment horizontal="right" vertical="center" wrapText="1"/>
    </xf>
    <xf numFmtId="0" fontId="33" fillId="0" borderId="0" xfId="0" applyFont="1" applyBorder="1" applyAlignment="1" applyProtection="1">
      <alignment vertical="top" wrapText="1"/>
    </xf>
    <xf numFmtId="0" fontId="13" fillId="7" borderId="0" xfId="0" applyFont="1" applyFill="1" applyBorder="1" applyAlignment="1" applyProtection="1">
      <alignment horizontal="left" vertical="center" wrapText="1"/>
    </xf>
    <xf numFmtId="0" fontId="4" fillId="22" borderId="1" xfId="0" applyFont="1" applyFill="1" applyBorder="1" applyAlignment="1" applyProtection="1">
      <alignment horizontal="center" vertical="center" wrapText="1"/>
    </xf>
    <xf numFmtId="0" fontId="67" fillId="0" borderId="0" xfId="0" applyFont="1" applyBorder="1" applyAlignment="1" applyProtection="1">
      <alignment horizontal="left" vertical="center" wrapText="1"/>
    </xf>
    <xf numFmtId="0" fontId="6" fillId="0" borderId="1" xfId="0" applyFont="1" applyBorder="1" applyAlignment="1" applyProtection="1">
      <alignment horizontal="left" vertical="center" wrapText="1"/>
    </xf>
    <xf numFmtId="0" fontId="6" fillId="4" borderId="1" xfId="0" applyFont="1" applyFill="1" applyBorder="1" applyAlignment="1" applyProtection="1">
      <alignment horizontal="left" vertical="center" wrapText="1"/>
    </xf>
    <xf numFmtId="0" fontId="5" fillId="9" borderId="1" xfId="0" applyFont="1" applyFill="1" applyBorder="1" applyAlignment="1" applyProtection="1">
      <alignment horizontal="left" vertical="center" wrapText="1"/>
    </xf>
    <xf numFmtId="0" fontId="7" fillId="0" borderId="1" xfId="0" applyFont="1" applyBorder="1" applyAlignment="1" applyProtection="1">
      <alignment horizontal="left" vertical="center" wrapText="1"/>
    </xf>
    <xf numFmtId="0" fontId="7" fillId="12" borderId="1" xfId="0" applyFont="1" applyFill="1" applyBorder="1" applyAlignment="1" applyProtection="1">
      <alignment horizontal="left" vertical="center" wrapText="1"/>
    </xf>
    <xf numFmtId="0" fontId="44" fillId="0" borderId="0" xfId="0" applyFont="1" applyBorder="1" applyAlignment="1" applyProtection="1">
      <alignment horizontal="left" vertical="center" wrapText="1"/>
    </xf>
    <xf numFmtId="0" fontId="36" fillId="13" borderId="1" xfId="0" applyFont="1" applyFill="1" applyBorder="1" applyAlignment="1" applyProtection="1">
      <alignment horizontal="center" vertical="center" wrapText="1"/>
    </xf>
  </cellXfs>
  <cellStyles count="2">
    <cellStyle name="Звичайний" xfId="0" builtinId="0"/>
    <cellStyle name="Обычный 2" xfId="1"/>
  </cellStyles>
  <dxfs count="0"/>
  <tableStyles count="0" defaultTableStyle="TableStyleMedium2" defaultPivotStyle="PivotStyleLight16"/>
  <colors>
    <indexedColors>
      <rgbColor rgb="FF000000"/>
      <rgbColor rgb="FFFFFFFF"/>
      <rgbColor rgb="FFC00000"/>
      <rgbColor rgb="FFFDFAF4"/>
      <rgbColor rgb="FF0000FF"/>
      <rgbColor rgb="FFE2EFDA"/>
      <rgbColor rgb="FFFF00FF"/>
      <rgbColor rgb="FFF7FAFD"/>
      <rgbColor rgb="FF9C0006"/>
      <rgbColor rgb="FF008000"/>
      <rgbColor rgb="FF000080"/>
      <rgbColor rgb="FF9C6500"/>
      <rgbColor rgb="FF800080"/>
      <rgbColor rgb="FF2E75B6"/>
      <rgbColor rgb="FFB3B3B3"/>
      <rgbColor rgb="FF808080"/>
      <rgbColor rgb="FFF2F2F2"/>
      <rgbColor rgb="FF7030A0"/>
      <rgbColor rgb="FFFFF2CC"/>
      <rgbColor rgb="FFE8F5E9"/>
      <rgbColor rgb="FF660066"/>
      <rgbColor rgb="FFC55A11"/>
      <rgbColor rgb="FF0070C0"/>
      <rgbColor rgb="FFD9D9D9"/>
      <rgbColor rgb="FF000080"/>
      <rgbColor rgb="FFFF00FF"/>
      <rgbColor rgb="FFFDF0E6"/>
      <rgbColor rgb="FFFBF6EE"/>
      <rgbColor rgb="FF800080"/>
      <rgbColor rgb="FF800000"/>
      <rgbColor rgb="FF00A651"/>
      <rgbColor rgb="FF0000FF"/>
      <rgbColor rgb="FF00B0C7"/>
      <rgbColor rgb="FFE8F0F8"/>
      <rgbColor rgb="FFC6EFCE"/>
      <rgbColor rgb="FFFFEB9C"/>
      <rgbColor rgb="FFDCE6F1"/>
      <rgbColor rgb="FFE6E6E6"/>
      <rgbColor rgb="FFF3E8F8"/>
      <rgbColor rgb="FFFFD9CC"/>
      <rgbColor rgb="FF464FEB"/>
      <rgbColor rgb="FFF2F7FB"/>
      <rgbColor rgb="FFF5F5F5"/>
      <rgbColor rgb="FFFFE8E8"/>
      <rgbColor rgb="FFB08E00"/>
      <rgbColor rgb="FFE36C0A"/>
      <rgbColor rgb="FF595959"/>
      <rgbColor rgb="FFB0B0B0"/>
      <rgbColor rgb="FF2E5E8C"/>
      <rgbColor rgb="FF3C8C40"/>
      <rgbColor rgb="FF006100"/>
      <rgbColor rgb="FF7A4E1F"/>
      <rgbColor rgb="FF9C3314"/>
      <rgbColor rgb="FF6B3FA0"/>
      <rgbColor rgb="FF1F4E78"/>
      <rgbColor rgb="FF555555"/>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uk-UA"/>
  <c:roundedCorners val="0"/>
  <c:style val="2"/>
  <c:chart>
    <c:title>
      <c:tx>
        <c:rich>
          <a:bodyPr rot="0"/>
          <a:lstStyle/>
          <a:p>
            <a:pPr>
              <a:defRPr lang="uk-UA" sz="1800" b="1" strike="noStrike" spc="-1">
                <a:solidFill>
                  <a:srgbClr val="000000"/>
                </a:solidFill>
                <a:latin typeface="Calibri"/>
              </a:defRPr>
            </a:pPr>
            <a:r>
              <a:rPr lang="uk-UA" sz="1800" b="1" strike="noStrike" spc="-1">
                <a:solidFill>
                  <a:srgbClr val="000000"/>
                </a:solidFill>
                <a:latin typeface="Calibri"/>
              </a:rPr>
              <a:t>Динаміка доменів (S-бали за контрольними точками)</a:t>
            </a:r>
          </a:p>
        </c:rich>
      </c:tx>
      <c:overlay val="0"/>
      <c:spPr>
        <a:noFill/>
        <a:ln w="0">
          <a:noFill/>
        </a:ln>
      </c:spPr>
    </c:title>
    <c:autoTitleDeleted val="0"/>
    <c:plotArea>
      <c:layout/>
      <c:lineChart>
        <c:grouping val="standard"/>
        <c:varyColors val="0"/>
        <c:ser>
          <c:idx val="0"/>
          <c:order val="0"/>
          <c:tx>
            <c:strRef>
              <c:f>'7_Final'!$A$2</c:f>
              <c:strCache>
                <c:ptCount val="1"/>
                <c:pt idx="0">
                  <c:v>Pain</c:v>
                </c:pt>
              </c:strCache>
            </c:strRef>
          </c:tx>
          <c:spPr>
            <a:ln w="28440">
              <a:solidFill>
                <a:srgbClr val="C00000"/>
              </a:solidFill>
              <a:round/>
            </a:ln>
          </c:spPr>
          <c:marker>
            <c:symbol val="circle"/>
            <c:size val="7"/>
            <c:spPr>
              <a:solidFill>
                <a:srgbClr val="C0000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'7_Final'!$C$1:$G$1</c:f>
              <c:strCache>
                <c:ptCount val="5"/>
                <c:pt idx="0">
                  <c:v>S5</c:v>
                </c:pt>
                <c:pt idx="1">
                  <c:v>S10</c:v>
                </c:pt>
                <c:pt idx="2">
                  <c:v>S20</c:v>
                </c:pt>
                <c:pt idx="3">
                  <c:v>S40</c:v>
                </c:pt>
                <c:pt idx="4">
                  <c:v>S80</c:v>
                </c:pt>
              </c:strCache>
            </c:strRef>
          </c:cat>
          <c:val>
            <c:numRef>
              <c:f>'7_Final'!$B$2:$G$2</c:f>
              <c:numCache>
                <c:formatCode>0.00</c:formatCode>
                <c:ptCount val="6"/>
                <c:pt idx="0" formatCode="General">
                  <c:v>0</c:v>
                </c:pt>
                <c:pt idx="1">
                  <c:v>8.0313958695915622E-2</c:v>
                </c:pt>
                <c:pt idx="2">
                  <c:v>0.27529076312033202</c:v>
                </c:pt>
                <c:pt idx="3">
                  <c:v>0.44284466440026971</c:v>
                </c:pt>
                <c:pt idx="4">
                  <c:v>0.63249222869575084</c:v>
                </c:pt>
                <c:pt idx="5">
                  <c:v>0.77486566087358666</c:v>
                </c:pt>
              </c:numCache>
            </c:numRef>
          </c:val>
          <c:smooth val="0"/>
        </c:ser>
        <c:ser>
          <c:idx val="1"/>
          <c:order val="1"/>
          <c:tx>
            <c:strRef>
              <c:f>'7_Final'!$A$3</c:f>
              <c:strCache>
                <c:ptCount val="1"/>
                <c:pt idx="0">
                  <c:v>Neuro</c:v>
                </c:pt>
              </c:strCache>
            </c:strRef>
          </c:tx>
          <c:spPr>
            <a:ln w="28440">
              <a:solidFill>
                <a:srgbClr val="0070C0"/>
              </a:solidFill>
              <a:prstDash val="dash"/>
              <a:round/>
            </a:ln>
          </c:spPr>
          <c:marker>
            <c:symbol val="square"/>
            <c:size val="7"/>
            <c:spPr>
              <a:solidFill>
                <a:srgbClr val="0070C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'7_Final'!$C$1:$G$1</c:f>
              <c:strCache>
                <c:ptCount val="5"/>
                <c:pt idx="0">
                  <c:v>S5</c:v>
                </c:pt>
                <c:pt idx="1">
                  <c:v>S10</c:v>
                </c:pt>
                <c:pt idx="2">
                  <c:v>S20</c:v>
                </c:pt>
                <c:pt idx="3">
                  <c:v>S40</c:v>
                </c:pt>
                <c:pt idx="4">
                  <c:v>S80</c:v>
                </c:pt>
              </c:strCache>
            </c:strRef>
          </c:cat>
          <c:val>
            <c:numRef>
              <c:f>'7_Final'!$B$3:$G$3</c:f>
              <c:numCache>
                <c:formatCode>0.00</c:formatCode>
                <c:ptCount val="6"/>
                <c:pt idx="0" formatCode="General">
                  <c:v>0</c:v>
                </c:pt>
                <c:pt idx="1">
                  <c:v>9.8194956390588409E-2</c:v>
                </c:pt>
                <c:pt idx="2">
                  <c:v>0.24515694160638435</c:v>
                </c:pt>
                <c:pt idx="3">
                  <c:v>0.4048534826079872</c:v>
                </c:pt>
                <c:pt idx="4">
                  <c:v>0.55094563112295947</c:v>
                </c:pt>
                <c:pt idx="5">
                  <c:v>0.74017941535315135</c:v>
                </c:pt>
              </c:numCache>
            </c:numRef>
          </c:val>
          <c:smooth val="0"/>
        </c:ser>
        <c:ser>
          <c:idx val="2"/>
          <c:order val="2"/>
          <c:tx>
            <c:strRef>
              <c:f>'7_Final'!$A$4</c:f>
              <c:strCache>
                <c:ptCount val="1"/>
                <c:pt idx="0">
                  <c:v>ANS</c:v>
                </c:pt>
              </c:strCache>
            </c:strRef>
          </c:tx>
          <c:spPr>
            <a:ln w="28440">
              <a:solidFill>
                <a:srgbClr val="00A651"/>
              </a:solidFill>
              <a:prstDash val="sysDot"/>
              <a:round/>
            </a:ln>
          </c:spPr>
          <c:marker>
            <c:symbol val="triangle"/>
            <c:size val="7"/>
            <c:spPr>
              <a:solidFill>
                <a:srgbClr val="00A651"/>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'7_Final'!$C$1:$G$1</c:f>
              <c:strCache>
                <c:ptCount val="5"/>
                <c:pt idx="0">
                  <c:v>S5</c:v>
                </c:pt>
                <c:pt idx="1">
                  <c:v>S10</c:v>
                </c:pt>
                <c:pt idx="2">
                  <c:v>S20</c:v>
                </c:pt>
                <c:pt idx="3">
                  <c:v>S40</c:v>
                </c:pt>
                <c:pt idx="4">
                  <c:v>S80</c:v>
                </c:pt>
              </c:strCache>
            </c:strRef>
          </c:cat>
          <c:val>
            <c:numRef>
              <c:f>'7_Final'!$B$4:$G$4</c:f>
              <c:numCache>
                <c:formatCode>0.00</c:formatCode>
                <c:ptCount val="6"/>
                <c:pt idx="0" formatCode="General">
                  <c:v>0</c:v>
                </c:pt>
                <c:pt idx="1">
                  <c:v>0.1648905718396996</c:v>
                </c:pt>
                <c:pt idx="2">
                  <c:v>0.27382733086161087</c:v>
                </c:pt>
                <c:pt idx="3">
                  <c:v>0.46136783136066095</c:v>
                </c:pt>
                <c:pt idx="4">
                  <c:v>0.55770300132254491</c:v>
                </c:pt>
                <c:pt idx="5">
                  <c:v>0.72982881712720449</c:v>
                </c:pt>
              </c:numCache>
            </c:numRef>
          </c:val>
          <c:smooth val="0"/>
        </c:ser>
        <c:ser>
          <c:idx val="3"/>
          <c:order val="3"/>
          <c:tx>
            <c:strRef>
              <c:f>'7_Final'!$A$5</c:f>
              <c:strCache>
                <c:ptCount val="1"/>
                <c:pt idx="0">
                  <c:v>Function</c:v>
                </c:pt>
              </c:strCache>
            </c:strRef>
          </c:tx>
          <c:spPr>
            <a:ln w="28440">
              <a:solidFill>
                <a:srgbClr val="7030A0"/>
              </a:solidFill>
              <a:prstDash val="dashDot"/>
              <a:round/>
            </a:ln>
          </c:spPr>
          <c:marker>
            <c:symbol val="diamond"/>
            <c:size val="7"/>
            <c:spPr>
              <a:solidFill>
                <a:srgbClr val="7030A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'7_Final'!$C$1:$G$1</c:f>
              <c:strCache>
                <c:ptCount val="5"/>
                <c:pt idx="0">
                  <c:v>S5</c:v>
                </c:pt>
                <c:pt idx="1">
                  <c:v>S10</c:v>
                </c:pt>
                <c:pt idx="2">
                  <c:v>S20</c:v>
                </c:pt>
                <c:pt idx="3">
                  <c:v>S40</c:v>
                </c:pt>
                <c:pt idx="4">
                  <c:v>S80</c:v>
                </c:pt>
              </c:strCache>
            </c:strRef>
          </c:cat>
          <c:val>
            <c:numRef>
              <c:f>'7_Final'!$B$5:$G$5</c:f>
              <c:numCache>
                <c:formatCode>0.00</c:formatCode>
                <c:ptCount val="6"/>
                <c:pt idx="0" formatCode="General">
                  <c:v>0</c:v>
                </c:pt>
                <c:pt idx="1">
                  <c:v>0.12486117436023102</c:v>
                </c:pt>
                <c:pt idx="2">
                  <c:v>0.29235764078072624</c:v>
                </c:pt>
                <c:pt idx="3">
                  <c:v>0.4675751543868637</c:v>
                </c:pt>
                <c:pt idx="4">
                  <c:v>0.65103678063211923</c:v>
                </c:pt>
                <c:pt idx="5">
                  <c:v>0.76595520913295612</c:v>
                </c:pt>
              </c:numCache>
            </c:numRef>
          </c:val>
          <c:smooth val="0"/>
        </c:ser>
        <c:ser>
          <c:idx val="4"/>
          <c:order val="4"/>
          <c:tx>
            <c:strRef>
              <c:f>'7_Final'!$A$6</c:f>
              <c:strCache>
                <c:ptCount val="1"/>
                <c:pt idx="0">
                  <c:v>Trophic</c:v>
                </c:pt>
              </c:strCache>
            </c:strRef>
          </c:tx>
          <c:spPr>
            <a:ln w="28440">
              <a:solidFill>
                <a:srgbClr val="E36C0A"/>
              </a:solidFill>
              <a:prstDash val="lgDash"/>
              <a:round/>
            </a:ln>
          </c:spPr>
          <c:marker>
            <c:symbol val="x"/>
            <c:size val="7"/>
            <c:spPr>
              <a:solidFill>
                <a:srgbClr val="E36C0A"/>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'7_Final'!$C$1:$G$1</c:f>
              <c:strCache>
                <c:ptCount val="5"/>
                <c:pt idx="0">
                  <c:v>S5</c:v>
                </c:pt>
                <c:pt idx="1">
                  <c:v>S10</c:v>
                </c:pt>
                <c:pt idx="2">
                  <c:v>S20</c:v>
                </c:pt>
                <c:pt idx="3">
                  <c:v>S40</c:v>
                </c:pt>
                <c:pt idx="4">
                  <c:v>S80</c:v>
                </c:pt>
              </c:strCache>
            </c:strRef>
          </c:cat>
          <c:val>
            <c:numRef>
              <c:f>'7_Final'!$B$6:$G$6</c:f>
              <c:numCache>
                <c:formatCode>0.00</c:formatCode>
                <c:ptCount val="6"/>
                <c:pt idx="0" formatCode="General">
                  <c:v>0</c:v>
                </c:pt>
                <c:pt idx="1">
                  <c:v>0.1495877895981087</c:v>
                </c:pt>
                <c:pt idx="2">
                  <c:v>0.2161196690307329</c:v>
                </c:pt>
                <c:pt idx="3">
                  <c:v>0.39044562943262417</c:v>
                </c:pt>
                <c:pt idx="4">
                  <c:v>0.57589764184397174</c:v>
                </c:pt>
                <c:pt idx="5">
                  <c:v>0.73712325945626489</c:v>
                </c:pt>
              </c:numCache>
            </c:numRef>
          </c:val>
          <c:smooth val="0"/>
        </c:ser>
        <c:ser>
          <c:idx val="5"/>
          <c:order val="5"/>
          <c:tx>
            <c:strRef>
              <c:f>'7_Final'!$A$7</c:f>
              <c:strCache>
                <c:ptCount val="1"/>
                <c:pt idx="0">
                  <c:v>Digital</c:v>
                </c:pt>
              </c:strCache>
            </c:strRef>
          </c:tx>
          <c:spPr>
            <a:ln w="28440">
              <a:solidFill>
                <a:srgbClr val="00B0C7"/>
              </a:solidFill>
              <a:prstDash val="lgDashDot"/>
              <a:round/>
            </a:ln>
          </c:spPr>
          <c:marker>
            <c:symbol val="square"/>
            <c:size val="7"/>
            <c:spPr>
              <a:solidFill>
                <a:srgbClr val="00B0C7"/>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'7_Final'!$C$1:$G$1</c:f>
              <c:strCache>
                <c:ptCount val="5"/>
                <c:pt idx="0">
                  <c:v>S5</c:v>
                </c:pt>
                <c:pt idx="1">
                  <c:v>S10</c:v>
                </c:pt>
                <c:pt idx="2">
                  <c:v>S20</c:v>
                </c:pt>
                <c:pt idx="3">
                  <c:v>S40</c:v>
                </c:pt>
                <c:pt idx="4">
                  <c:v>S80</c:v>
                </c:pt>
              </c:strCache>
            </c:strRef>
          </c:cat>
          <c:val>
            <c:numRef>
              <c:f>'7_Final'!$B$7:$G$7</c:f>
              <c:numCache>
                <c:formatCode>0.00</c:formatCode>
                <c:ptCount val="6"/>
                <c:pt idx="0" formatCode="General">
                  <c:v>0</c:v>
                </c:pt>
                <c:pt idx="1">
                  <c:v>0.14193548387096774</c:v>
                </c:pt>
                <c:pt idx="2">
                  <c:v>0.3209032258064517</c:v>
                </c:pt>
                <c:pt idx="3">
                  <c:v>0.46206451612903243</c:v>
                </c:pt>
                <c:pt idx="4">
                  <c:v>0.42200000000000004</c:v>
                </c:pt>
                <c:pt idx="5">
                  <c:v>0.52812903225806451</c:v>
                </c:pt>
              </c:numCache>
            </c:numRef>
          </c:val>
          <c:smooth val="0"/>
        </c:ser>
        <c:ser>
          <c:idx val="6"/>
          <c:order val="6"/>
          <c:tx>
            <c:strRef>
              <c:f>'7_Final'!$A$8</c:f>
              <c:strCache>
                <c:ptCount val="1"/>
                <c:pt idx="0">
                  <c:v>Lab</c:v>
                </c:pt>
              </c:strCache>
            </c:strRef>
          </c:tx>
          <c:spPr>
            <a:ln w="28440">
              <a:solidFill>
                <a:srgbClr val="B08E00"/>
              </a:solidFill>
              <a:prstDash val="sysDashDot"/>
              <a:round/>
            </a:ln>
          </c:spPr>
          <c:marker>
            <c:symbol val="plus"/>
            <c:size val="7"/>
            <c:spPr>
              <a:solidFill>
                <a:srgbClr val="B08E0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'7_Final'!$C$1:$G$1</c:f>
              <c:strCache>
                <c:ptCount val="5"/>
                <c:pt idx="0">
                  <c:v>S5</c:v>
                </c:pt>
                <c:pt idx="1">
                  <c:v>S10</c:v>
                </c:pt>
                <c:pt idx="2">
                  <c:v>S20</c:v>
                </c:pt>
                <c:pt idx="3">
                  <c:v>S40</c:v>
                </c:pt>
                <c:pt idx="4">
                  <c:v>S80</c:v>
                </c:pt>
              </c:strCache>
            </c:strRef>
          </c:cat>
          <c:val>
            <c:numRef>
              <c:f>'7_Final'!$B$8:$G$8</c:f>
              <c:numCache>
                <c:formatCode>0.00</c:formatCode>
                <c:ptCount val="6"/>
                <c:pt idx="0" formatCode="General">
                  <c:v>0</c:v>
                </c:pt>
                <c:pt idx="1">
                  <c:v>0.12623908045977006</c:v>
                </c:pt>
                <c:pt idx="2">
                  <c:v>0.2754712643678161</c:v>
                </c:pt>
                <c:pt idx="3">
                  <c:v>0.54257068965517241</c:v>
                </c:pt>
                <c:pt idx="4">
                  <c:v>0.66212011494252876</c:v>
                </c:pt>
                <c:pt idx="5">
                  <c:v>0.67140459770114946</c:v>
                </c:pt>
              </c:numCache>
            </c:numRef>
          </c:val>
          <c:smooth val="0"/>
        </c:ser>
        <c:dLbls>
          <c:showLegendKey val="0"/>
          <c:showVal val="0"/>
          <c:showCatName val="0"/>
          <c:showSerName val="0"/>
          <c:showPercent val="0"/>
          <c:showBubbleSize val="0"/>
        </c:dLbls>
        <c:hiLowLines>
          <c:spPr>
            <a:ln w="0">
              <a:noFill/>
            </a:ln>
          </c:spPr>
        </c:hiLowLines>
        <c:marker val="1"/>
        <c:smooth val="0"/>
        <c:axId val="-1191883344"/>
        <c:axId val="-1191886608"/>
      </c:lineChart>
      <c:catAx>
        <c:axId val="-1191883344"/>
        <c:scaling>
          <c:orientation val="minMax"/>
        </c:scaling>
        <c:delete val="0"/>
        <c:axPos val="b"/>
        <c:title>
          <c:tx>
            <c:rich>
              <a:bodyPr rot="0"/>
              <a:lstStyle/>
              <a:p>
                <a:pPr>
                  <a:defRPr lang="uk-UA" sz="1000" b="1" strike="noStrike" spc="-1">
                    <a:solidFill>
                      <a:srgbClr val="000000"/>
                    </a:solidFill>
                    <a:latin typeface="Calibri"/>
                  </a:defRPr>
                </a:pPr>
                <a:r>
                  <a:rPr lang="uk-UA" sz="1000" b="1" strike="noStrike" spc="-1">
                    <a:solidFill>
                      <a:srgbClr val="000000"/>
                    </a:solidFill>
                    <a:latin typeface="Calibri"/>
                  </a:rPr>
                  <a:t>Контрольна точка</a:t>
                </a:r>
              </a:p>
            </c:rich>
          </c:tx>
          <c:overlay val="0"/>
          <c:spPr>
            <a:noFill/>
            <a:ln w="0">
              <a:noFill/>
            </a:ln>
          </c:spPr>
        </c:title>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uk-UA"/>
          </a:p>
        </c:txPr>
        <c:crossAx val="-1191886608"/>
        <c:crosses val="autoZero"/>
        <c:auto val="1"/>
        <c:lblAlgn val="ctr"/>
        <c:lblOffset val="100"/>
        <c:noMultiLvlLbl val="0"/>
      </c:catAx>
      <c:valAx>
        <c:axId val="-1191886608"/>
        <c:scaling>
          <c:orientation val="minMax"/>
          <c:max val="1"/>
          <c:min val="0"/>
        </c:scaling>
        <c:delete val="0"/>
        <c:axPos val="l"/>
        <c:majorGridlines>
          <c:spPr>
            <a:ln w="0">
              <a:solidFill>
                <a:srgbClr val="B3B3B3"/>
              </a:solidFill>
            </a:ln>
          </c:spPr>
        </c:majorGridlines>
        <c:title>
          <c:tx>
            <c:rich>
              <a:bodyPr rot="-5400000"/>
              <a:lstStyle/>
              <a:p>
                <a:pPr>
                  <a:defRPr lang="uk-UA" sz="1000" b="1" strike="noStrike" spc="-1">
                    <a:solidFill>
                      <a:srgbClr val="000000"/>
                    </a:solidFill>
                    <a:latin typeface="Calibri"/>
                  </a:defRPr>
                </a:pPr>
                <a:r>
                  <a:rPr lang="uk-UA" sz="1000" b="1" strike="noStrike" spc="-1">
                    <a:solidFill>
                      <a:srgbClr val="000000"/>
                    </a:solidFill>
                    <a:latin typeface="Calibri"/>
                  </a:rPr>
                  <a:t>Нормалізований бал (0–1)</a:t>
                </a:r>
              </a:p>
            </c:rich>
          </c:tx>
          <c:overlay val="0"/>
          <c:spPr>
            <a:noFill/>
            <a:ln w="0">
              <a:noFill/>
            </a:ln>
          </c:spPr>
        </c:title>
        <c:numFmt formatCode="0.0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uk-UA"/>
          </a:p>
        </c:txPr>
        <c:crossAx val="-1191883344"/>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uk-UA"/>
        </a:p>
      </c:txPr>
    </c:legend>
    <c:plotVisOnly val="1"/>
    <c:dispBlanksAs val="zero"/>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uk-UA"/>
  <c:roundedCorners val="0"/>
  <c:style val="2"/>
  <c:chart>
    <c:title>
      <c:tx>
        <c:rich>
          <a:bodyPr rot="0"/>
          <a:lstStyle/>
          <a:p>
            <a:pPr>
              <a:defRPr lang="uk-UA" sz="1800" b="1" strike="noStrike" spc="-1">
                <a:solidFill>
                  <a:srgbClr val="000000"/>
                </a:solidFill>
                <a:latin typeface="Calibri"/>
              </a:defRPr>
            </a:pPr>
            <a:r>
              <a:rPr lang="uk-UA" sz="1800" b="1" strike="noStrike" spc="-1">
                <a:solidFill>
                  <a:srgbClr val="000000"/>
                </a:solidFill>
                <a:latin typeface="Calibri"/>
              </a:rPr>
              <a:t>Траєкторія CREI (доби 5–80)</a:t>
            </a:r>
          </a:p>
        </c:rich>
      </c:tx>
      <c:overlay val="0"/>
      <c:spPr>
        <a:noFill/>
        <a:ln w="0">
          <a:noFill/>
        </a:ln>
      </c:spPr>
    </c:title>
    <c:autoTitleDeleted val="0"/>
    <c:plotArea>
      <c:layout/>
      <c:lineChart>
        <c:grouping val="standard"/>
        <c:varyColors val="0"/>
        <c:ser>
          <c:idx val="0"/>
          <c:order val="0"/>
          <c:tx>
            <c:strRef>
              <c:f>'7_Final'!$K$9</c:f>
              <c:strCache>
                <c:ptCount val="1"/>
                <c:pt idx="0">
                  <c:v>Value</c:v>
                </c:pt>
              </c:strCache>
            </c:strRef>
          </c:tx>
          <c:spPr>
            <a:ln w="28440">
              <a:solidFill>
                <a:srgbClr val="C00000"/>
              </a:solidFill>
              <a:round/>
            </a:ln>
          </c:spPr>
          <c:marker>
            <c:symbol val="circle"/>
            <c:size val="7"/>
            <c:spPr>
              <a:solidFill>
                <a:srgbClr val="C0000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'7_Final'!$I$10:$I$14</c:f>
              <c:strCache>
                <c:ptCount val="5"/>
                <c:pt idx="0">
                  <c:v>CREI_Day5</c:v>
                </c:pt>
                <c:pt idx="1">
                  <c:v>CREI_Day10</c:v>
                </c:pt>
                <c:pt idx="2">
                  <c:v>CREI_Day20</c:v>
                </c:pt>
                <c:pt idx="3">
                  <c:v>CREI_Day40</c:v>
                </c:pt>
                <c:pt idx="4">
                  <c:v>CREI_Day80</c:v>
                </c:pt>
              </c:strCache>
            </c:strRef>
          </c:cat>
          <c:val>
            <c:numRef>
              <c:f>'7_Final'!$K$10:$K$14</c:f>
              <c:numCache>
                <c:formatCode>0.00</c:formatCode>
                <c:ptCount val="5"/>
                <c:pt idx="0">
                  <c:v>0.11701607990209381</c:v>
                </c:pt>
                <c:pt idx="1">
                  <c:v>0.27001001724518581</c:v>
                </c:pt>
                <c:pt idx="2">
                  <c:v>0.44528120798551835</c:v>
                </c:pt>
                <c:pt idx="3">
                  <c:v>0.58893847840108493</c:v>
                </c:pt>
                <c:pt idx="4">
                  <c:v>0.72983396199248718</c:v>
                </c:pt>
              </c:numCache>
            </c:numRef>
          </c:val>
          <c:smooth val="0"/>
        </c:ser>
        <c:dLbls>
          <c:showLegendKey val="0"/>
          <c:showVal val="0"/>
          <c:showCatName val="0"/>
          <c:showSerName val="0"/>
          <c:showPercent val="0"/>
          <c:showBubbleSize val="0"/>
        </c:dLbls>
        <c:hiLowLines>
          <c:spPr>
            <a:ln w="0">
              <a:noFill/>
            </a:ln>
          </c:spPr>
        </c:hiLowLines>
        <c:marker val="1"/>
        <c:smooth val="0"/>
        <c:axId val="-1191887152"/>
        <c:axId val="-1191886064"/>
      </c:lineChart>
      <c:catAx>
        <c:axId val="-1191887152"/>
        <c:scaling>
          <c:orientation val="minMax"/>
        </c:scaling>
        <c:delete val="0"/>
        <c:axPos val="b"/>
        <c:title>
          <c:tx>
            <c:rich>
              <a:bodyPr rot="0"/>
              <a:lstStyle/>
              <a:p>
                <a:pPr>
                  <a:defRPr lang="uk-UA" sz="1000" b="1" strike="noStrike" spc="-1">
                    <a:solidFill>
                      <a:srgbClr val="000000"/>
                    </a:solidFill>
                    <a:latin typeface="Calibri"/>
                  </a:defRPr>
                </a:pPr>
                <a:r>
                  <a:rPr lang="uk-UA" sz="1000" b="1" strike="noStrike" spc="-1">
                    <a:solidFill>
                      <a:srgbClr val="000000"/>
                    </a:solidFill>
                    <a:latin typeface="Calibri"/>
                  </a:rPr>
                  <a:t>Контрольна точка</a:t>
                </a:r>
              </a:p>
            </c:rich>
          </c:tx>
          <c:overlay val="0"/>
          <c:spPr>
            <a:noFill/>
            <a:ln w="0">
              <a:noFill/>
            </a:ln>
          </c:spPr>
        </c:title>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uk-UA"/>
          </a:p>
        </c:txPr>
        <c:crossAx val="-1191886064"/>
        <c:crosses val="autoZero"/>
        <c:auto val="1"/>
        <c:lblAlgn val="ctr"/>
        <c:lblOffset val="100"/>
        <c:noMultiLvlLbl val="0"/>
      </c:catAx>
      <c:valAx>
        <c:axId val="-1191886064"/>
        <c:scaling>
          <c:orientation val="minMax"/>
          <c:max val="1"/>
          <c:min val="0"/>
        </c:scaling>
        <c:delete val="0"/>
        <c:axPos val="l"/>
        <c:majorGridlines>
          <c:spPr>
            <a:ln w="0">
              <a:solidFill>
                <a:srgbClr val="B3B3B3"/>
              </a:solidFill>
            </a:ln>
          </c:spPr>
        </c:majorGridlines>
        <c:title>
          <c:tx>
            <c:rich>
              <a:bodyPr rot="-5400000"/>
              <a:lstStyle/>
              <a:p>
                <a:pPr>
                  <a:defRPr lang="en-US" sz="1000" b="1" strike="noStrike" spc="-1">
                    <a:solidFill>
                      <a:srgbClr val="000000"/>
                    </a:solidFill>
                    <a:latin typeface="Calibri"/>
                  </a:defRPr>
                </a:pPr>
                <a:r>
                  <a:rPr lang="en-US" sz="1000" b="1" strike="noStrike" spc="-1">
                    <a:solidFill>
                      <a:srgbClr val="000000"/>
                    </a:solidFill>
                    <a:latin typeface="Calibri"/>
                  </a:rPr>
                  <a:t>CREI (0–1)</a:t>
                </a:r>
              </a:p>
            </c:rich>
          </c:tx>
          <c:overlay val="0"/>
          <c:spPr>
            <a:noFill/>
            <a:ln w="0">
              <a:noFill/>
            </a:ln>
          </c:spPr>
        </c:title>
        <c:numFmt formatCode="0.0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uk-UA"/>
          </a:p>
        </c:txPr>
        <c:crossAx val="-1191887152"/>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uk-UA"/>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uk-UA"/>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Розташування точки на контурі тіла (ліворуч — передня проєкція, праворуч — задня)</a:t>
            </a:r>
          </a:p>
        </c:rich>
      </c:tx>
      <c:overlay val="0"/>
      <c:spPr>
        <a:noFill/>
        <a:ln w="0">
          <a:noFill/>
        </a:ln>
      </c:spPr>
    </c:title>
    <c:autoTitleDeleted val="0"/>
    <c:plotArea>
      <c:layout/>
      <c:scatterChart>
        <c:scatterStyle val="lineMarker"/>
        <c:varyColors val="0"/>
        <c:ser>
          <c:idx val="0"/>
          <c:order val="0"/>
          <c:tx>
            <c:v>Контур (перед)</c:v>
          </c:tx>
          <c:spPr>
            <a:ln w="12600">
              <a:solidFill>
                <a:srgbClr val="808080"/>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J_Карта_точок!$L$6:$L$121</c:f>
              <c:numCache>
                <c:formatCode>General</c:formatCode>
                <c:ptCount val="116"/>
                <c:pt idx="0">
                  <c:v>25</c:v>
                </c:pt>
                <c:pt idx="1">
                  <c:v>21.5</c:v>
                </c:pt>
                <c:pt idx="2">
                  <c:v>19</c:v>
                </c:pt>
                <c:pt idx="3">
                  <c:v>18</c:v>
                </c:pt>
                <c:pt idx="4">
                  <c:v>18.5</c:v>
                </c:pt>
                <c:pt idx="5">
                  <c:v>20</c:v>
                </c:pt>
                <c:pt idx="6">
                  <c:v>21</c:v>
                </c:pt>
                <c:pt idx="7">
                  <c:v>21.5</c:v>
                </c:pt>
                <c:pt idx="8">
                  <c:v>20.5</c:v>
                </c:pt>
                <c:pt idx="9">
                  <c:v>16</c:v>
                </c:pt>
                <c:pt idx="10">
                  <c:v>11</c:v>
                </c:pt>
                <c:pt idx="11">
                  <c:v>9</c:v>
                </c:pt>
                <c:pt idx="12">
                  <c:v>7.5</c:v>
                </c:pt>
                <c:pt idx="13">
                  <c:v>6.5</c:v>
                </c:pt>
                <c:pt idx="14">
                  <c:v>5.5</c:v>
                </c:pt>
                <c:pt idx="15">
                  <c:v>4.5</c:v>
                </c:pt>
                <c:pt idx="16">
                  <c:v>3.5</c:v>
                </c:pt>
                <c:pt idx="17">
                  <c:v>2.5</c:v>
                </c:pt>
                <c:pt idx="18">
                  <c:v>1.5</c:v>
                </c:pt>
                <c:pt idx="19">
                  <c:v>0</c:v>
                </c:pt>
                <c:pt idx="20">
                  <c:v>-0.5</c:v>
                </c:pt>
                <c:pt idx="21">
                  <c:v>1</c:v>
                </c:pt>
                <c:pt idx="22">
                  <c:v>3</c:v>
                </c:pt>
                <c:pt idx="23">
                  <c:v>4.5</c:v>
                </c:pt>
                <c:pt idx="24">
                  <c:v>6</c:v>
                </c:pt>
                <c:pt idx="25">
                  <c:v>7.5</c:v>
                </c:pt>
                <c:pt idx="26">
                  <c:v>9</c:v>
                </c:pt>
                <c:pt idx="27">
                  <c:v>10</c:v>
                </c:pt>
                <c:pt idx="28">
                  <c:v>11</c:v>
                </c:pt>
                <c:pt idx="29">
                  <c:v>12</c:v>
                </c:pt>
                <c:pt idx="30">
                  <c:v>13</c:v>
                </c:pt>
                <c:pt idx="31">
                  <c:v>14</c:v>
                </c:pt>
                <c:pt idx="32">
                  <c:v>14.5</c:v>
                </c:pt>
                <c:pt idx="33">
                  <c:v>15</c:v>
                </c:pt>
                <c:pt idx="34">
                  <c:v>14.5</c:v>
                </c:pt>
                <c:pt idx="35">
                  <c:v>13</c:v>
                </c:pt>
                <c:pt idx="36">
                  <c:v>12</c:v>
                </c:pt>
                <c:pt idx="37">
                  <c:v>12</c:v>
                </c:pt>
                <c:pt idx="38">
                  <c:v>12.5</c:v>
                </c:pt>
                <c:pt idx="39">
                  <c:v>13.5</c:v>
                </c:pt>
                <c:pt idx="40">
                  <c:v>14.5</c:v>
                </c:pt>
                <c:pt idx="41">
                  <c:v>15</c:v>
                </c:pt>
                <c:pt idx="42">
                  <c:v>15.5</c:v>
                </c:pt>
                <c:pt idx="43">
                  <c:v>16</c:v>
                </c:pt>
                <c:pt idx="44">
                  <c:v>17.5</c:v>
                </c:pt>
                <c:pt idx="45">
                  <c:v>18.5</c:v>
                </c:pt>
                <c:pt idx="46">
                  <c:v>19</c:v>
                </c:pt>
                <c:pt idx="47">
                  <c:v>17</c:v>
                </c:pt>
                <c:pt idx="48">
                  <c:v>16</c:v>
                </c:pt>
                <c:pt idx="49">
                  <c:v>22</c:v>
                </c:pt>
                <c:pt idx="50">
                  <c:v>22.5</c:v>
                </c:pt>
                <c:pt idx="51">
                  <c:v>22</c:v>
                </c:pt>
                <c:pt idx="52">
                  <c:v>21.5</c:v>
                </c:pt>
                <c:pt idx="53">
                  <c:v>21</c:v>
                </c:pt>
                <c:pt idx="54">
                  <c:v>21</c:v>
                </c:pt>
                <c:pt idx="55">
                  <c:v>21.5</c:v>
                </c:pt>
                <c:pt idx="56">
                  <c:v>22</c:v>
                </c:pt>
                <c:pt idx="57">
                  <c:v>25</c:v>
                </c:pt>
                <c:pt idx="58">
                  <c:v>25</c:v>
                </c:pt>
                <c:pt idx="59">
                  <c:v>28</c:v>
                </c:pt>
                <c:pt idx="60">
                  <c:v>28.5</c:v>
                </c:pt>
                <c:pt idx="61">
                  <c:v>29</c:v>
                </c:pt>
                <c:pt idx="62">
                  <c:v>29</c:v>
                </c:pt>
                <c:pt idx="63">
                  <c:v>28.5</c:v>
                </c:pt>
                <c:pt idx="64">
                  <c:v>28</c:v>
                </c:pt>
                <c:pt idx="65">
                  <c:v>27.5</c:v>
                </c:pt>
                <c:pt idx="66">
                  <c:v>28</c:v>
                </c:pt>
                <c:pt idx="67">
                  <c:v>34</c:v>
                </c:pt>
                <c:pt idx="68">
                  <c:v>33</c:v>
                </c:pt>
                <c:pt idx="69">
                  <c:v>31</c:v>
                </c:pt>
                <c:pt idx="70">
                  <c:v>31.5</c:v>
                </c:pt>
                <c:pt idx="71">
                  <c:v>32.5</c:v>
                </c:pt>
                <c:pt idx="72">
                  <c:v>34</c:v>
                </c:pt>
                <c:pt idx="73">
                  <c:v>34.5</c:v>
                </c:pt>
                <c:pt idx="74">
                  <c:v>35</c:v>
                </c:pt>
                <c:pt idx="75">
                  <c:v>35.5</c:v>
                </c:pt>
                <c:pt idx="76">
                  <c:v>36.5</c:v>
                </c:pt>
                <c:pt idx="77">
                  <c:v>37.5</c:v>
                </c:pt>
                <c:pt idx="78">
                  <c:v>38</c:v>
                </c:pt>
                <c:pt idx="79">
                  <c:v>38</c:v>
                </c:pt>
                <c:pt idx="80">
                  <c:v>37</c:v>
                </c:pt>
                <c:pt idx="81">
                  <c:v>35.5</c:v>
                </c:pt>
                <c:pt idx="82">
                  <c:v>35</c:v>
                </c:pt>
                <c:pt idx="83">
                  <c:v>35.5</c:v>
                </c:pt>
                <c:pt idx="84">
                  <c:v>36</c:v>
                </c:pt>
                <c:pt idx="85">
                  <c:v>37</c:v>
                </c:pt>
                <c:pt idx="86">
                  <c:v>38</c:v>
                </c:pt>
                <c:pt idx="87">
                  <c:v>39</c:v>
                </c:pt>
                <c:pt idx="88">
                  <c:v>40</c:v>
                </c:pt>
                <c:pt idx="89">
                  <c:v>41</c:v>
                </c:pt>
                <c:pt idx="90">
                  <c:v>42.5</c:v>
                </c:pt>
                <c:pt idx="91">
                  <c:v>44</c:v>
                </c:pt>
                <c:pt idx="92">
                  <c:v>45.5</c:v>
                </c:pt>
                <c:pt idx="93">
                  <c:v>47</c:v>
                </c:pt>
                <c:pt idx="94">
                  <c:v>49</c:v>
                </c:pt>
                <c:pt idx="95">
                  <c:v>50.5</c:v>
                </c:pt>
                <c:pt idx="96">
                  <c:v>50</c:v>
                </c:pt>
                <c:pt idx="97">
                  <c:v>48.5</c:v>
                </c:pt>
                <c:pt idx="98">
                  <c:v>47.5</c:v>
                </c:pt>
                <c:pt idx="99">
                  <c:v>46.5</c:v>
                </c:pt>
                <c:pt idx="100">
                  <c:v>45.5</c:v>
                </c:pt>
                <c:pt idx="101">
                  <c:v>44.5</c:v>
                </c:pt>
                <c:pt idx="102">
                  <c:v>43.5</c:v>
                </c:pt>
                <c:pt idx="103">
                  <c:v>42.5</c:v>
                </c:pt>
                <c:pt idx="104">
                  <c:v>41</c:v>
                </c:pt>
                <c:pt idx="105">
                  <c:v>39</c:v>
                </c:pt>
                <c:pt idx="106">
                  <c:v>34</c:v>
                </c:pt>
                <c:pt idx="107">
                  <c:v>29.5</c:v>
                </c:pt>
                <c:pt idx="108">
                  <c:v>28.5</c:v>
                </c:pt>
                <c:pt idx="109">
                  <c:v>29</c:v>
                </c:pt>
                <c:pt idx="110">
                  <c:v>30</c:v>
                </c:pt>
                <c:pt idx="111">
                  <c:v>31.5</c:v>
                </c:pt>
                <c:pt idx="112">
                  <c:v>32</c:v>
                </c:pt>
                <c:pt idx="113">
                  <c:v>31</c:v>
                </c:pt>
                <c:pt idx="114">
                  <c:v>28.5</c:v>
                </c:pt>
                <c:pt idx="115">
                  <c:v>25</c:v>
                </c:pt>
              </c:numCache>
            </c:numRef>
          </c:xVal>
          <c:yVal>
            <c:numRef>
              <c:f>J_Карта_точок!$M$6:$M$121</c:f>
              <c:numCache>
                <c:formatCode>General</c:formatCode>
                <c:ptCount val="116"/>
                <c:pt idx="0">
                  <c:v>200</c:v>
                </c:pt>
                <c:pt idx="1">
                  <c:v>199</c:v>
                </c:pt>
                <c:pt idx="2">
                  <c:v>195</c:v>
                </c:pt>
                <c:pt idx="3">
                  <c:v>189</c:v>
                </c:pt>
                <c:pt idx="4">
                  <c:v>183</c:v>
                </c:pt>
                <c:pt idx="5">
                  <c:v>179</c:v>
                </c:pt>
                <c:pt idx="6">
                  <c:v>176</c:v>
                </c:pt>
                <c:pt idx="7">
                  <c:v>173</c:v>
                </c:pt>
                <c:pt idx="8">
                  <c:v>170</c:v>
                </c:pt>
                <c:pt idx="9">
                  <c:v>168</c:v>
                </c:pt>
                <c:pt idx="10">
                  <c:v>166</c:v>
                </c:pt>
                <c:pt idx="11">
                  <c:v>163</c:v>
                </c:pt>
                <c:pt idx="12">
                  <c:v>158</c:v>
                </c:pt>
                <c:pt idx="13">
                  <c:v>150</c:v>
                </c:pt>
                <c:pt idx="14">
                  <c:v>140</c:v>
                </c:pt>
                <c:pt idx="15">
                  <c:v>130</c:v>
                </c:pt>
                <c:pt idx="16">
                  <c:v>120</c:v>
                </c:pt>
                <c:pt idx="17">
                  <c:v>110</c:v>
                </c:pt>
                <c:pt idx="18">
                  <c:v>100</c:v>
                </c:pt>
                <c:pt idx="19">
                  <c:v>94</c:v>
                </c:pt>
                <c:pt idx="20">
                  <c:v>88</c:v>
                </c:pt>
                <c:pt idx="21">
                  <c:v>85</c:v>
                </c:pt>
                <c:pt idx="22">
                  <c:v>87</c:v>
                </c:pt>
                <c:pt idx="23">
                  <c:v>92</c:v>
                </c:pt>
                <c:pt idx="24">
                  <c:v>100</c:v>
                </c:pt>
                <c:pt idx="25">
                  <c:v>110</c:v>
                </c:pt>
                <c:pt idx="26">
                  <c:v>120</c:v>
                </c:pt>
                <c:pt idx="27">
                  <c:v>130</c:v>
                </c:pt>
                <c:pt idx="28">
                  <c:v>140</c:v>
                </c:pt>
                <c:pt idx="29">
                  <c:v>150</c:v>
                </c:pt>
                <c:pt idx="30">
                  <c:v>155</c:v>
                </c:pt>
                <c:pt idx="31">
                  <c:v>148</c:v>
                </c:pt>
                <c:pt idx="32">
                  <c:v>138</c:v>
                </c:pt>
                <c:pt idx="33">
                  <c:v>128</c:v>
                </c:pt>
                <c:pt idx="34">
                  <c:v>118</c:v>
                </c:pt>
                <c:pt idx="35">
                  <c:v>110</c:v>
                </c:pt>
                <c:pt idx="36">
                  <c:v>103</c:v>
                </c:pt>
                <c:pt idx="37">
                  <c:v>95</c:v>
                </c:pt>
                <c:pt idx="38">
                  <c:v>85</c:v>
                </c:pt>
                <c:pt idx="39">
                  <c:v>70</c:v>
                </c:pt>
                <c:pt idx="40">
                  <c:v>58</c:v>
                </c:pt>
                <c:pt idx="41">
                  <c:v>52</c:v>
                </c:pt>
                <c:pt idx="42">
                  <c:v>45</c:v>
                </c:pt>
                <c:pt idx="43">
                  <c:v>35</c:v>
                </c:pt>
                <c:pt idx="44">
                  <c:v>22</c:v>
                </c:pt>
                <c:pt idx="45">
                  <c:v>14</c:v>
                </c:pt>
                <c:pt idx="46">
                  <c:v>9</c:v>
                </c:pt>
                <c:pt idx="47">
                  <c:v>4</c:v>
                </c:pt>
                <c:pt idx="48">
                  <c:v>1</c:v>
                </c:pt>
                <c:pt idx="49">
                  <c:v>0</c:v>
                </c:pt>
                <c:pt idx="50">
                  <c:v>5</c:v>
                </c:pt>
                <c:pt idx="51">
                  <c:v>12</c:v>
                </c:pt>
                <c:pt idx="52">
                  <c:v>25</c:v>
                </c:pt>
                <c:pt idx="53">
                  <c:v>40</c:v>
                </c:pt>
                <c:pt idx="54">
                  <c:v>55</c:v>
                </c:pt>
                <c:pt idx="55">
                  <c:v>70</c:v>
                </c:pt>
                <c:pt idx="56">
                  <c:v>85</c:v>
                </c:pt>
                <c:pt idx="57">
                  <c:v>89</c:v>
                </c:pt>
                <c:pt idx="58">
                  <c:v>89</c:v>
                </c:pt>
                <c:pt idx="59">
                  <c:v>85</c:v>
                </c:pt>
                <c:pt idx="60">
                  <c:v>70</c:v>
                </c:pt>
                <c:pt idx="61">
                  <c:v>55</c:v>
                </c:pt>
                <c:pt idx="62">
                  <c:v>40</c:v>
                </c:pt>
                <c:pt idx="63">
                  <c:v>25</c:v>
                </c:pt>
                <c:pt idx="64">
                  <c:v>12</c:v>
                </c:pt>
                <c:pt idx="65">
                  <c:v>5</c:v>
                </c:pt>
                <c:pt idx="66">
                  <c:v>0</c:v>
                </c:pt>
                <c:pt idx="67">
                  <c:v>1</c:v>
                </c:pt>
                <c:pt idx="68">
                  <c:v>4</c:v>
                </c:pt>
                <c:pt idx="69">
                  <c:v>9</c:v>
                </c:pt>
                <c:pt idx="70">
                  <c:v>14</c:v>
                </c:pt>
                <c:pt idx="71">
                  <c:v>22</c:v>
                </c:pt>
                <c:pt idx="72">
                  <c:v>35</c:v>
                </c:pt>
                <c:pt idx="73">
                  <c:v>45</c:v>
                </c:pt>
                <c:pt idx="74">
                  <c:v>52</c:v>
                </c:pt>
                <c:pt idx="75">
                  <c:v>58</c:v>
                </c:pt>
                <c:pt idx="76">
                  <c:v>70</c:v>
                </c:pt>
                <c:pt idx="77">
                  <c:v>85</c:v>
                </c:pt>
                <c:pt idx="78">
                  <c:v>95</c:v>
                </c:pt>
                <c:pt idx="79">
                  <c:v>103</c:v>
                </c:pt>
                <c:pt idx="80">
                  <c:v>110</c:v>
                </c:pt>
                <c:pt idx="81">
                  <c:v>118</c:v>
                </c:pt>
                <c:pt idx="82">
                  <c:v>128</c:v>
                </c:pt>
                <c:pt idx="83">
                  <c:v>138</c:v>
                </c:pt>
                <c:pt idx="84">
                  <c:v>148</c:v>
                </c:pt>
                <c:pt idx="85">
                  <c:v>155</c:v>
                </c:pt>
                <c:pt idx="86">
                  <c:v>150</c:v>
                </c:pt>
                <c:pt idx="87">
                  <c:v>140</c:v>
                </c:pt>
                <c:pt idx="88">
                  <c:v>130</c:v>
                </c:pt>
                <c:pt idx="89">
                  <c:v>120</c:v>
                </c:pt>
                <c:pt idx="90">
                  <c:v>110</c:v>
                </c:pt>
                <c:pt idx="91">
                  <c:v>100</c:v>
                </c:pt>
                <c:pt idx="92">
                  <c:v>92</c:v>
                </c:pt>
                <c:pt idx="93">
                  <c:v>87</c:v>
                </c:pt>
                <c:pt idx="94">
                  <c:v>85</c:v>
                </c:pt>
                <c:pt idx="95">
                  <c:v>88</c:v>
                </c:pt>
                <c:pt idx="96">
                  <c:v>94</c:v>
                </c:pt>
                <c:pt idx="97">
                  <c:v>100</c:v>
                </c:pt>
                <c:pt idx="98">
                  <c:v>110</c:v>
                </c:pt>
                <c:pt idx="99">
                  <c:v>120</c:v>
                </c:pt>
                <c:pt idx="100">
                  <c:v>130</c:v>
                </c:pt>
                <c:pt idx="101">
                  <c:v>140</c:v>
                </c:pt>
                <c:pt idx="102">
                  <c:v>150</c:v>
                </c:pt>
                <c:pt idx="103">
                  <c:v>158</c:v>
                </c:pt>
                <c:pt idx="104">
                  <c:v>163</c:v>
                </c:pt>
                <c:pt idx="105">
                  <c:v>166</c:v>
                </c:pt>
                <c:pt idx="106">
                  <c:v>168</c:v>
                </c:pt>
                <c:pt idx="107">
                  <c:v>170</c:v>
                </c:pt>
                <c:pt idx="108">
                  <c:v>173</c:v>
                </c:pt>
                <c:pt idx="109">
                  <c:v>176</c:v>
                </c:pt>
                <c:pt idx="110">
                  <c:v>179</c:v>
                </c:pt>
                <c:pt idx="111">
                  <c:v>183</c:v>
                </c:pt>
                <c:pt idx="112">
                  <c:v>189</c:v>
                </c:pt>
                <c:pt idx="113">
                  <c:v>195</c:v>
                </c:pt>
                <c:pt idx="114">
                  <c:v>199</c:v>
                </c:pt>
                <c:pt idx="115">
                  <c:v>200</c:v>
                </c:pt>
              </c:numCache>
            </c:numRef>
          </c:yVal>
          <c:smooth val="1"/>
        </c:ser>
        <c:ser>
          <c:idx val="1"/>
          <c:order val="1"/>
          <c:tx>
            <c:v>Контур (зад)</c:v>
          </c:tx>
          <c:spPr>
            <a:ln w="12600">
              <a:solidFill>
                <a:srgbClr val="808080"/>
              </a:solidFill>
              <a:prstDash val="dash"/>
              <a:round/>
            </a:ln>
          </c:spPr>
          <c:marker>
            <c:symbol val="none"/>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J_Карта_точок!$N$6:$N$121</c:f>
              <c:numCache>
                <c:formatCode>General</c:formatCode>
                <c:ptCount val="116"/>
                <c:pt idx="0">
                  <c:v>75</c:v>
                </c:pt>
                <c:pt idx="1">
                  <c:v>71.5</c:v>
                </c:pt>
                <c:pt idx="2">
                  <c:v>69</c:v>
                </c:pt>
                <c:pt idx="3">
                  <c:v>68</c:v>
                </c:pt>
                <c:pt idx="4">
                  <c:v>68.5</c:v>
                </c:pt>
                <c:pt idx="5">
                  <c:v>70</c:v>
                </c:pt>
                <c:pt idx="6">
                  <c:v>71</c:v>
                </c:pt>
                <c:pt idx="7">
                  <c:v>71.5</c:v>
                </c:pt>
                <c:pt idx="8">
                  <c:v>70.5</c:v>
                </c:pt>
                <c:pt idx="9">
                  <c:v>66</c:v>
                </c:pt>
                <c:pt idx="10">
                  <c:v>61</c:v>
                </c:pt>
                <c:pt idx="11">
                  <c:v>59</c:v>
                </c:pt>
                <c:pt idx="12">
                  <c:v>57.5</c:v>
                </c:pt>
                <c:pt idx="13">
                  <c:v>56.5</c:v>
                </c:pt>
                <c:pt idx="14">
                  <c:v>55.5</c:v>
                </c:pt>
                <c:pt idx="15">
                  <c:v>54.5</c:v>
                </c:pt>
                <c:pt idx="16">
                  <c:v>53.5</c:v>
                </c:pt>
                <c:pt idx="17">
                  <c:v>52.5</c:v>
                </c:pt>
                <c:pt idx="18">
                  <c:v>51.5</c:v>
                </c:pt>
                <c:pt idx="19">
                  <c:v>50</c:v>
                </c:pt>
                <c:pt idx="20">
                  <c:v>49.5</c:v>
                </c:pt>
                <c:pt idx="21">
                  <c:v>51</c:v>
                </c:pt>
                <c:pt idx="22">
                  <c:v>53</c:v>
                </c:pt>
                <c:pt idx="23">
                  <c:v>54.5</c:v>
                </c:pt>
                <c:pt idx="24">
                  <c:v>56</c:v>
                </c:pt>
                <c:pt idx="25">
                  <c:v>57.5</c:v>
                </c:pt>
                <c:pt idx="26">
                  <c:v>59</c:v>
                </c:pt>
                <c:pt idx="27">
                  <c:v>60</c:v>
                </c:pt>
                <c:pt idx="28">
                  <c:v>61</c:v>
                </c:pt>
                <c:pt idx="29">
                  <c:v>62</c:v>
                </c:pt>
                <c:pt idx="30">
                  <c:v>63</c:v>
                </c:pt>
                <c:pt idx="31">
                  <c:v>64</c:v>
                </c:pt>
                <c:pt idx="32">
                  <c:v>64.5</c:v>
                </c:pt>
                <c:pt idx="33">
                  <c:v>65</c:v>
                </c:pt>
                <c:pt idx="34">
                  <c:v>64.5</c:v>
                </c:pt>
                <c:pt idx="35">
                  <c:v>63</c:v>
                </c:pt>
                <c:pt idx="36">
                  <c:v>62</c:v>
                </c:pt>
                <c:pt idx="37">
                  <c:v>62</c:v>
                </c:pt>
                <c:pt idx="38">
                  <c:v>62.5</c:v>
                </c:pt>
                <c:pt idx="39">
                  <c:v>63.5</c:v>
                </c:pt>
                <c:pt idx="40">
                  <c:v>64.5</c:v>
                </c:pt>
                <c:pt idx="41">
                  <c:v>65</c:v>
                </c:pt>
                <c:pt idx="42">
                  <c:v>65.5</c:v>
                </c:pt>
                <c:pt idx="43">
                  <c:v>66</c:v>
                </c:pt>
                <c:pt idx="44">
                  <c:v>67.5</c:v>
                </c:pt>
                <c:pt idx="45">
                  <c:v>68.5</c:v>
                </c:pt>
                <c:pt idx="46">
                  <c:v>69</c:v>
                </c:pt>
                <c:pt idx="47">
                  <c:v>67</c:v>
                </c:pt>
                <c:pt idx="48">
                  <c:v>66</c:v>
                </c:pt>
                <c:pt idx="49">
                  <c:v>72</c:v>
                </c:pt>
                <c:pt idx="50">
                  <c:v>72.5</c:v>
                </c:pt>
                <c:pt idx="51">
                  <c:v>72</c:v>
                </c:pt>
                <c:pt idx="52">
                  <c:v>71.5</c:v>
                </c:pt>
                <c:pt idx="53">
                  <c:v>71</c:v>
                </c:pt>
                <c:pt idx="54">
                  <c:v>71</c:v>
                </c:pt>
                <c:pt idx="55">
                  <c:v>71.5</c:v>
                </c:pt>
                <c:pt idx="56">
                  <c:v>72</c:v>
                </c:pt>
                <c:pt idx="57">
                  <c:v>75</c:v>
                </c:pt>
                <c:pt idx="58">
                  <c:v>75</c:v>
                </c:pt>
                <c:pt idx="59">
                  <c:v>78</c:v>
                </c:pt>
                <c:pt idx="60">
                  <c:v>78.5</c:v>
                </c:pt>
                <c:pt idx="61">
                  <c:v>79</c:v>
                </c:pt>
                <c:pt idx="62">
                  <c:v>79</c:v>
                </c:pt>
                <c:pt idx="63">
                  <c:v>78.5</c:v>
                </c:pt>
                <c:pt idx="64">
                  <c:v>78</c:v>
                </c:pt>
                <c:pt idx="65">
                  <c:v>77.5</c:v>
                </c:pt>
                <c:pt idx="66">
                  <c:v>78</c:v>
                </c:pt>
                <c:pt idx="67">
                  <c:v>84</c:v>
                </c:pt>
                <c:pt idx="68">
                  <c:v>83</c:v>
                </c:pt>
                <c:pt idx="69">
                  <c:v>81</c:v>
                </c:pt>
                <c:pt idx="70">
                  <c:v>81.5</c:v>
                </c:pt>
                <c:pt idx="71">
                  <c:v>82.5</c:v>
                </c:pt>
                <c:pt idx="72">
                  <c:v>84</c:v>
                </c:pt>
                <c:pt idx="73">
                  <c:v>84.5</c:v>
                </c:pt>
                <c:pt idx="74">
                  <c:v>85</c:v>
                </c:pt>
                <c:pt idx="75">
                  <c:v>85.5</c:v>
                </c:pt>
                <c:pt idx="76">
                  <c:v>86.5</c:v>
                </c:pt>
                <c:pt idx="77">
                  <c:v>87.5</c:v>
                </c:pt>
                <c:pt idx="78">
                  <c:v>88</c:v>
                </c:pt>
                <c:pt idx="79">
                  <c:v>88</c:v>
                </c:pt>
                <c:pt idx="80">
                  <c:v>87</c:v>
                </c:pt>
                <c:pt idx="81">
                  <c:v>85.5</c:v>
                </c:pt>
                <c:pt idx="82">
                  <c:v>85</c:v>
                </c:pt>
                <c:pt idx="83">
                  <c:v>85.5</c:v>
                </c:pt>
                <c:pt idx="84">
                  <c:v>86</c:v>
                </c:pt>
                <c:pt idx="85">
                  <c:v>87</c:v>
                </c:pt>
                <c:pt idx="86">
                  <c:v>88</c:v>
                </c:pt>
                <c:pt idx="87">
                  <c:v>89</c:v>
                </c:pt>
                <c:pt idx="88">
                  <c:v>90</c:v>
                </c:pt>
                <c:pt idx="89">
                  <c:v>91</c:v>
                </c:pt>
                <c:pt idx="90">
                  <c:v>92.5</c:v>
                </c:pt>
                <c:pt idx="91">
                  <c:v>94</c:v>
                </c:pt>
                <c:pt idx="92">
                  <c:v>95.5</c:v>
                </c:pt>
                <c:pt idx="93">
                  <c:v>97</c:v>
                </c:pt>
                <c:pt idx="94">
                  <c:v>99</c:v>
                </c:pt>
                <c:pt idx="95">
                  <c:v>100.5</c:v>
                </c:pt>
                <c:pt idx="96">
                  <c:v>100</c:v>
                </c:pt>
                <c:pt idx="97">
                  <c:v>98.5</c:v>
                </c:pt>
                <c:pt idx="98">
                  <c:v>97.5</c:v>
                </c:pt>
                <c:pt idx="99">
                  <c:v>96.5</c:v>
                </c:pt>
                <c:pt idx="100">
                  <c:v>95.5</c:v>
                </c:pt>
                <c:pt idx="101">
                  <c:v>94.5</c:v>
                </c:pt>
                <c:pt idx="102">
                  <c:v>93.5</c:v>
                </c:pt>
                <c:pt idx="103">
                  <c:v>92.5</c:v>
                </c:pt>
                <c:pt idx="104">
                  <c:v>91</c:v>
                </c:pt>
                <c:pt idx="105">
                  <c:v>89</c:v>
                </c:pt>
                <c:pt idx="106">
                  <c:v>84</c:v>
                </c:pt>
                <c:pt idx="107">
                  <c:v>79.5</c:v>
                </c:pt>
                <c:pt idx="108">
                  <c:v>78.5</c:v>
                </c:pt>
                <c:pt idx="109">
                  <c:v>79</c:v>
                </c:pt>
                <c:pt idx="110">
                  <c:v>80</c:v>
                </c:pt>
                <c:pt idx="111">
                  <c:v>81.5</c:v>
                </c:pt>
                <c:pt idx="112">
                  <c:v>82</c:v>
                </c:pt>
                <c:pt idx="113">
                  <c:v>81</c:v>
                </c:pt>
                <c:pt idx="114">
                  <c:v>78.5</c:v>
                </c:pt>
                <c:pt idx="115">
                  <c:v>75</c:v>
                </c:pt>
              </c:numCache>
            </c:numRef>
          </c:xVal>
          <c:yVal>
            <c:numRef>
              <c:f>J_Карта_точок!$O$6:$O$121</c:f>
              <c:numCache>
                <c:formatCode>General</c:formatCode>
                <c:ptCount val="116"/>
                <c:pt idx="0">
                  <c:v>200</c:v>
                </c:pt>
                <c:pt idx="1">
                  <c:v>199</c:v>
                </c:pt>
                <c:pt idx="2">
                  <c:v>195</c:v>
                </c:pt>
                <c:pt idx="3">
                  <c:v>189</c:v>
                </c:pt>
                <c:pt idx="4">
                  <c:v>183</c:v>
                </c:pt>
                <c:pt idx="5">
                  <c:v>179</c:v>
                </c:pt>
                <c:pt idx="6">
                  <c:v>176</c:v>
                </c:pt>
                <c:pt idx="7">
                  <c:v>173</c:v>
                </c:pt>
                <c:pt idx="8">
                  <c:v>170</c:v>
                </c:pt>
                <c:pt idx="9">
                  <c:v>168</c:v>
                </c:pt>
                <c:pt idx="10">
                  <c:v>166</c:v>
                </c:pt>
                <c:pt idx="11">
                  <c:v>163</c:v>
                </c:pt>
                <c:pt idx="12">
                  <c:v>158</c:v>
                </c:pt>
                <c:pt idx="13">
                  <c:v>150</c:v>
                </c:pt>
                <c:pt idx="14">
                  <c:v>140</c:v>
                </c:pt>
                <c:pt idx="15">
                  <c:v>130</c:v>
                </c:pt>
                <c:pt idx="16">
                  <c:v>120</c:v>
                </c:pt>
                <c:pt idx="17">
                  <c:v>110</c:v>
                </c:pt>
                <c:pt idx="18">
                  <c:v>100</c:v>
                </c:pt>
                <c:pt idx="19">
                  <c:v>94</c:v>
                </c:pt>
                <c:pt idx="20">
                  <c:v>88</c:v>
                </c:pt>
                <c:pt idx="21">
                  <c:v>85</c:v>
                </c:pt>
                <c:pt idx="22">
                  <c:v>87</c:v>
                </c:pt>
                <c:pt idx="23">
                  <c:v>92</c:v>
                </c:pt>
                <c:pt idx="24">
                  <c:v>100</c:v>
                </c:pt>
                <c:pt idx="25">
                  <c:v>110</c:v>
                </c:pt>
                <c:pt idx="26">
                  <c:v>120</c:v>
                </c:pt>
                <c:pt idx="27">
                  <c:v>130</c:v>
                </c:pt>
                <c:pt idx="28">
                  <c:v>140</c:v>
                </c:pt>
                <c:pt idx="29">
                  <c:v>150</c:v>
                </c:pt>
                <c:pt idx="30">
                  <c:v>155</c:v>
                </c:pt>
                <c:pt idx="31">
                  <c:v>148</c:v>
                </c:pt>
                <c:pt idx="32">
                  <c:v>138</c:v>
                </c:pt>
                <c:pt idx="33">
                  <c:v>128</c:v>
                </c:pt>
                <c:pt idx="34">
                  <c:v>118</c:v>
                </c:pt>
                <c:pt idx="35">
                  <c:v>110</c:v>
                </c:pt>
                <c:pt idx="36">
                  <c:v>103</c:v>
                </c:pt>
                <c:pt idx="37">
                  <c:v>95</c:v>
                </c:pt>
                <c:pt idx="38">
                  <c:v>85</c:v>
                </c:pt>
                <c:pt idx="39">
                  <c:v>70</c:v>
                </c:pt>
                <c:pt idx="40">
                  <c:v>58</c:v>
                </c:pt>
                <c:pt idx="41">
                  <c:v>52</c:v>
                </c:pt>
                <c:pt idx="42">
                  <c:v>45</c:v>
                </c:pt>
                <c:pt idx="43">
                  <c:v>35</c:v>
                </c:pt>
                <c:pt idx="44">
                  <c:v>22</c:v>
                </c:pt>
                <c:pt idx="45">
                  <c:v>14</c:v>
                </c:pt>
                <c:pt idx="46">
                  <c:v>9</c:v>
                </c:pt>
                <c:pt idx="47">
                  <c:v>4</c:v>
                </c:pt>
                <c:pt idx="48">
                  <c:v>1</c:v>
                </c:pt>
                <c:pt idx="49">
                  <c:v>0</c:v>
                </c:pt>
                <c:pt idx="50">
                  <c:v>5</c:v>
                </c:pt>
                <c:pt idx="51">
                  <c:v>12</c:v>
                </c:pt>
                <c:pt idx="52">
                  <c:v>25</c:v>
                </c:pt>
                <c:pt idx="53">
                  <c:v>40</c:v>
                </c:pt>
                <c:pt idx="54">
                  <c:v>55</c:v>
                </c:pt>
                <c:pt idx="55">
                  <c:v>70</c:v>
                </c:pt>
                <c:pt idx="56">
                  <c:v>85</c:v>
                </c:pt>
                <c:pt idx="57">
                  <c:v>89</c:v>
                </c:pt>
                <c:pt idx="58">
                  <c:v>89</c:v>
                </c:pt>
                <c:pt idx="59">
                  <c:v>85</c:v>
                </c:pt>
                <c:pt idx="60">
                  <c:v>70</c:v>
                </c:pt>
                <c:pt idx="61">
                  <c:v>55</c:v>
                </c:pt>
                <c:pt idx="62">
                  <c:v>40</c:v>
                </c:pt>
                <c:pt idx="63">
                  <c:v>25</c:v>
                </c:pt>
                <c:pt idx="64">
                  <c:v>12</c:v>
                </c:pt>
                <c:pt idx="65">
                  <c:v>5</c:v>
                </c:pt>
                <c:pt idx="66">
                  <c:v>0</c:v>
                </c:pt>
                <c:pt idx="67">
                  <c:v>1</c:v>
                </c:pt>
                <c:pt idx="68">
                  <c:v>4</c:v>
                </c:pt>
                <c:pt idx="69">
                  <c:v>9</c:v>
                </c:pt>
                <c:pt idx="70">
                  <c:v>14</c:v>
                </c:pt>
                <c:pt idx="71">
                  <c:v>22</c:v>
                </c:pt>
                <c:pt idx="72">
                  <c:v>35</c:v>
                </c:pt>
                <c:pt idx="73">
                  <c:v>45</c:v>
                </c:pt>
                <c:pt idx="74">
                  <c:v>52</c:v>
                </c:pt>
                <c:pt idx="75">
                  <c:v>58</c:v>
                </c:pt>
                <c:pt idx="76">
                  <c:v>70</c:v>
                </c:pt>
                <c:pt idx="77">
                  <c:v>85</c:v>
                </c:pt>
                <c:pt idx="78">
                  <c:v>95</c:v>
                </c:pt>
                <c:pt idx="79">
                  <c:v>103</c:v>
                </c:pt>
                <c:pt idx="80">
                  <c:v>110</c:v>
                </c:pt>
                <c:pt idx="81">
                  <c:v>118</c:v>
                </c:pt>
                <c:pt idx="82">
                  <c:v>128</c:v>
                </c:pt>
                <c:pt idx="83">
                  <c:v>138</c:v>
                </c:pt>
                <c:pt idx="84">
                  <c:v>148</c:v>
                </c:pt>
                <c:pt idx="85">
                  <c:v>155</c:v>
                </c:pt>
                <c:pt idx="86">
                  <c:v>150</c:v>
                </c:pt>
                <c:pt idx="87">
                  <c:v>140</c:v>
                </c:pt>
                <c:pt idx="88">
                  <c:v>130</c:v>
                </c:pt>
                <c:pt idx="89">
                  <c:v>120</c:v>
                </c:pt>
                <c:pt idx="90">
                  <c:v>110</c:v>
                </c:pt>
                <c:pt idx="91">
                  <c:v>100</c:v>
                </c:pt>
                <c:pt idx="92">
                  <c:v>92</c:v>
                </c:pt>
                <c:pt idx="93">
                  <c:v>87</c:v>
                </c:pt>
                <c:pt idx="94">
                  <c:v>85</c:v>
                </c:pt>
                <c:pt idx="95">
                  <c:v>88</c:v>
                </c:pt>
                <c:pt idx="96">
                  <c:v>94</c:v>
                </c:pt>
                <c:pt idx="97">
                  <c:v>100</c:v>
                </c:pt>
                <c:pt idx="98">
                  <c:v>110</c:v>
                </c:pt>
                <c:pt idx="99">
                  <c:v>120</c:v>
                </c:pt>
                <c:pt idx="100">
                  <c:v>130</c:v>
                </c:pt>
                <c:pt idx="101">
                  <c:v>140</c:v>
                </c:pt>
                <c:pt idx="102">
                  <c:v>150</c:v>
                </c:pt>
                <c:pt idx="103">
                  <c:v>158</c:v>
                </c:pt>
                <c:pt idx="104">
                  <c:v>163</c:v>
                </c:pt>
                <c:pt idx="105">
                  <c:v>166</c:v>
                </c:pt>
                <c:pt idx="106">
                  <c:v>168</c:v>
                </c:pt>
                <c:pt idx="107">
                  <c:v>170</c:v>
                </c:pt>
                <c:pt idx="108">
                  <c:v>173</c:v>
                </c:pt>
                <c:pt idx="109">
                  <c:v>176</c:v>
                </c:pt>
                <c:pt idx="110">
                  <c:v>179</c:v>
                </c:pt>
                <c:pt idx="111">
                  <c:v>183</c:v>
                </c:pt>
                <c:pt idx="112">
                  <c:v>189</c:v>
                </c:pt>
                <c:pt idx="113">
                  <c:v>195</c:v>
                </c:pt>
                <c:pt idx="114">
                  <c:v>199</c:v>
                </c:pt>
                <c:pt idx="115">
                  <c:v>200</c:v>
                </c:pt>
              </c:numCache>
            </c:numRef>
          </c:yVal>
          <c:smooth val="1"/>
        </c:ser>
        <c:ser>
          <c:idx val="2"/>
          <c:order val="2"/>
          <c:tx>
            <c:v>Покриття аплікатора Ø8 см</c:v>
          </c:tx>
          <c:spPr>
            <a:ln w="19080">
              <a:solidFill>
                <a:srgbClr val="0070C0"/>
              </a:solidFill>
              <a:prstDash val="sysDot"/>
              <a:round/>
            </a:ln>
          </c:spPr>
          <c:marker>
            <c:symbol val="none"/>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J_Карта_точок!$R$6:$R$30</c:f>
              <c:numCache>
                <c:formatCode>General</c:formatCode>
                <c:ptCount val="25"/>
                <c:pt idx="0">
                  <c:v>37.2059</c:v>
                </c:pt>
                <c:pt idx="1">
                  <c:v>37.045499999999997</c:v>
                </c:pt>
                <c:pt idx="2">
                  <c:v>36.575400000000002</c:v>
                </c:pt>
                <c:pt idx="3">
                  <c:v>35.827599999999997</c:v>
                </c:pt>
                <c:pt idx="4">
                  <c:v>34.852899999999998</c:v>
                </c:pt>
                <c:pt idx="5">
                  <c:v>33.718000000000004</c:v>
                </c:pt>
                <c:pt idx="6">
                  <c:v>32.5</c:v>
                </c:pt>
                <c:pt idx="7">
                  <c:v>31.282</c:v>
                </c:pt>
                <c:pt idx="8">
                  <c:v>30.147100000000002</c:v>
                </c:pt>
                <c:pt idx="9">
                  <c:v>29.1724</c:v>
                </c:pt>
                <c:pt idx="10">
                  <c:v>28.424599999999998</c:v>
                </c:pt>
                <c:pt idx="11">
                  <c:v>27.954499999999999</c:v>
                </c:pt>
                <c:pt idx="12">
                  <c:v>27.7941</c:v>
                </c:pt>
                <c:pt idx="13">
                  <c:v>27.954499999999999</c:v>
                </c:pt>
                <c:pt idx="14">
                  <c:v>28.424599999999998</c:v>
                </c:pt>
                <c:pt idx="15">
                  <c:v>29.1724</c:v>
                </c:pt>
                <c:pt idx="16">
                  <c:v>30.147100000000002</c:v>
                </c:pt>
                <c:pt idx="17">
                  <c:v>31.282</c:v>
                </c:pt>
                <c:pt idx="18">
                  <c:v>32.5</c:v>
                </c:pt>
                <c:pt idx="19">
                  <c:v>33.718000000000004</c:v>
                </c:pt>
                <c:pt idx="20">
                  <c:v>34.852899999999998</c:v>
                </c:pt>
                <c:pt idx="21">
                  <c:v>35.827599999999997</c:v>
                </c:pt>
                <c:pt idx="22">
                  <c:v>36.575400000000002</c:v>
                </c:pt>
                <c:pt idx="23">
                  <c:v>37.045499999999997</c:v>
                </c:pt>
                <c:pt idx="24">
                  <c:v>37.2059</c:v>
                </c:pt>
              </c:numCache>
            </c:numRef>
          </c:xVal>
          <c:yVal>
            <c:numRef>
              <c:f>J_Карта_точок!$S$6:$S$30</c:f>
              <c:numCache>
                <c:formatCode>General</c:formatCode>
                <c:ptCount val="25"/>
                <c:pt idx="0">
                  <c:v>167</c:v>
                </c:pt>
                <c:pt idx="1">
                  <c:v>168.21799999999999</c:v>
                </c:pt>
                <c:pt idx="2">
                  <c:v>169.35290000000001</c:v>
                </c:pt>
                <c:pt idx="3">
                  <c:v>170.32759999999999</c:v>
                </c:pt>
                <c:pt idx="4">
                  <c:v>171.0754</c:v>
                </c:pt>
                <c:pt idx="5">
                  <c:v>171.5455</c:v>
                </c:pt>
                <c:pt idx="6">
                  <c:v>171.70589999999999</c:v>
                </c:pt>
                <c:pt idx="7">
                  <c:v>171.5455</c:v>
                </c:pt>
                <c:pt idx="8">
                  <c:v>171.0754</c:v>
                </c:pt>
                <c:pt idx="9">
                  <c:v>170.32759999999999</c:v>
                </c:pt>
                <c:pt idx="10">
                  <c:v>169.35290000000001</c:v>
                </c:pt>
                <c:pt idx="11">
                  <c:v>168.21799999999999</c:v>
                </c:pt>
                <c:pt idx="12">
                  <c:v>167</c:v>
                </c:pt>
                <c:pt idx="13">
                  <c:v>165.78200000000001</c:v>
                </c:pt>
                <c:pt idx="14">
                  <c:v>164.64709999999999</c:v>
                </c:pt>
                <c:pt idx="15">
                  <c:v>163.67240000000001</c:v>
                </c:pt>
                <c:pt idx="16">
                  <c:v>162.9246</c:v>
                </c:pt>
                <c:pt idx="17">
                  <c:v>162.4545</c:v>
                </c:pt>
                <c:pt idx="18">
                  <c:v>162.29410000000001</c:v>
                </c:pt>
                <c:pt idx="19">
                  <c:v>162.4545</c:v>
                </c:pt>
                <c:pt idx="20">
                  <c:v>162.9246</c:v>
                </c:pt>
                <c:pt idx="21">
                  <c:v>163.67240000000001</c:v>
                </c:pt>
                <c:pt idx="22">
                  <c:v>164.64709999999999</c:v>
                </c:pt>
                <c:pt idx="23">
                  <c:v>165.78200000000001</c:v>
                </c:pt>
                <c:pt idx="24">
                  <c:v>167</c:v>
                </c:pt>
              </c:numCache>
            </c:numRef>
          </c:yVal>
          <c:smooth val="1"/>
        </c:ser>
        <c:ser>
          <c:idx val="3"/>
          <c:order val="3"/>
          <c:tx>
            <c:v>ОБРАНА ТОЧКА</c:v>
          </c:tx>
          <c:spPr>
            <a:ln w="47520">
              <a:noFill/>
            </a:ln>
          </c:spPr>
          <c:marker>
            <c:symbol val="circle"/>
            <c:size val="12"/>
            <c:spPr>
              <a:solidFill>
                <a:srgbClr val="C0000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J_Карта_точок!$P$6</c:f>
              <c:numCache>
                <c:formatCode>General</c:formatCode>
                <c:ptCount val="1"/>
                <c:pt idx="0">
                  <c:v>32.5</c:v>
                </c:pt>
              </c:numCache>
            </c:numRef>
          </c:xVal>
          <c:yVal>
            <c:numRef>
              <c:f>J_Карта_точок!$Q$6</c:f>
              <c:numCache>
                <c:formatCode>General</c:formatCode>
                <c:ptCount val="1"/>
                <c:pt idx="0">
                  <c:v>167</c:v>
                </c:pt>
              </c:numCache>
            </c:numRef>
          </c:yVal>
          <c:smooth val="1"/>
        </c:ser>
        <c:dLbls>
          <c:showLegendKey val="0"/>
          <c:showVal val="0"/>
          <c:showCatName val="0"/>
          <c:showSerName val="0"/>
          <c:showPercent val="0"/>
          <c:showBubbleSize val="0"/>
        </c:dLbls>
        <c:axId val="-1191888784"/>
        <c:axId val="-1191888240"/>
      </c:scatterChart>
      <c:valAx>
        <c:axId val="-1191888784"/>
        <c:scaling>
          <c:orientation val="minMax"/>
          <c:max val="100"/>
          <c:min val="0"/>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uk-UA"/>
          </a:p>
        </c:txPr>
        <c:crossAx val="-1191888240"/>
        <c:crosses val="autoZero"/>
        <c:crossBetween val="midCat"/>
      </c:valAx>
      <c:valAx>
        <c:axId val="-1191888240"/>
        <c:scaling>
          <c:orientation val="minMax"/>
          <c:max val="205"/>
          <c:min val="0"/>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sz="1000" b="1" strike="noStrike" spc="-1">
                    <a:solidFill>
                      <a:srgbClr val="000000"/>
                    </a:solidFill>
                    <a:latin typeface="Calibri"/>
                  </a:rPr>
                  <a:t>Висота від підлоги (поділки: 1 = 0,85 см)</a:t>
                </a:r>
              </a:p>
            </c:rich>
          </c:tx>
          <c:overlay val="0"/>
          <c:spPr>
            <a:noFill/>
            <a:ln w="0">
              <a:noFill/>
            </a:ln>
          </c:spPr>
        </c:title>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uk-UA"/>
          </a:p>
        </c:txPr>
        <c:crossAx val="-1191888784"/>
        <c:crosses val="autoZero"/>
        <c:crossBetween val="midCat"/>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uk-UA"/>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uk-UA"/>
  <c:roundedCorners val="0"/>
  <c:style val="2"/>
  <c:chart>
    <c:title>
      <c:tx>
        <c:rich>
          <a:bodyPr rot="0"/>
          <a:lstStyle/>
          <a:p>
            <a:pPr>
              <a:defRPr lang="uk-UA" sz="1800" b="1" strike="noStrike" spc="-1">
                <a:solidFill>
                  <a:srgbClr val="000000"/>
                </a:solidFill>
                <a:latin typeface="Calibri"/>
              </a:defRPr>
            </a:pPr>
            <a:r>
              <a:rPr lang="uk-UA" sz="1800" b="1" strike="noStrike" spc="-1">
                <a:solidFill>
                  <a:srgbClr val="000000"/>
                </a:solidFill>
                <a:latin typeface="Calibri"/>
              </a:rPr>
              <a:t>Динаміка базових індексів (CEI, MI, FRI, DMI)</a:t>
            </a:r>
          </a:p>
        </c:rich>
      </c:tx>
      <c:layout/>
      <c:overlay val="0"/>
      <c:spPr>
        <a:noFill/>
        <a:ln w="0">
          <a:noFill/>
        </a:ln>
      </c:spPr>
    </c:title>
    <c:autoTitleDeleted val="0"/>
    <c:plotArea>
      <c:layout/>
      <c:lineChart>
        <c:grouping val="standard"/>
        <c:varyColors val="0"/>
        <c:ser>
          <c:idx val="0"/>
          <c:order val="0"/>
          <c:tx>
            <c:strRef>
              <c:f>G1_Динаміка_індексів!$A$7</c:f>
              <c:strCache>
                <c:ptCount val="1"/>
                <c:pt idx="0">
                  <c:v>CEI (клінічна ефективність)</c:v>
                </c:pt>
              </c:strCache>
            </c:strRef>
          </c:tx>
          <c:spPr>
            <a:ln w="28440">
              <a:solidFill>
                <a:srgbClr val="C00000"/>
              </a:solidFill>
              <a:round/>
            </a:ln>
          </c:spPr>
          <c:marker>
            <c:symbol val="circle"/>
            <c:size val="7"/>
            <c:spPr>
              <a:solidFill>
                <a:srgbClr val="C0000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G1_Динаміка_індексів!$B$6:$F$6</c:f>
              <c:strCache>
                <c:ptCount val="5"/>
                <c:pt idx="0">
                  <c:v>Доба 5</c:v>
                </c:pt>
                <c:pt idx="1">
                  <c:v>Доба 10</c:v>
                </c:pt>
                <c:pt idx="2">
                  <c:v>Доба 20</c:v>
                </c:pt>
                <c:pt idx="3">
                  <c:v>Доба 40</c:v>
                </c:pt>
                <c:pt idx="4">
                  <c:v>Доба 80</c:v>
                </c:pt>
              </c:strCache>
            </c:strRef>
          </c:cat>
          <c:val>
            <c:numRef>
              <c:f>G1_Динаміка_індексів!$B$7:$F$7</c:f>
              <c:numCache>
                <c:formatCode>0.000</c:formatCode>
                <c:ptCount val="5"/>
                <c:pt idx="0">
                  <c:v>6.8421773497668967E-2</c:v>
                </c:pt>
                <c:pt idx="1">
                  <c:v>0.24283341454065707</c:v>
                </c:pt>
                <c:pt idx="2">
                  <c:v>0.40408737345333268</c:v>
                </c:pt>
                <c:pt idx="3">
                  <c:v>0.58474757311825676</c:v>
                </c:pt>
                <c:pt idx="4">
                  <c:v>0.7718840274951706</c:v>
                </c:pt>
              </c:numCache>
            </c:numRef>
          </c:val>
          <c:smooth val="0"/>
        </c:ser>
        <c:ser>
          <c:idx val="1"/>
          <c:order val="1"/>
          <c:tx>
            <c:strRef>
              <c:f>G1_Динаміка_індексів!$A$8</c:f>
              <c:strCache>
                <c:ptCount val="1"/>
                <c:pt idx="0">
                  <c:v>MI (механістичний)</c:v>
                </c:pt>
              </c:strCache>
            </c:strRef>
          </c:tx>
          <c:spPr>
            <a:ln w="28440">
              <a:solidFill>
                <a:srgbClr val="0070C0"/>
              </a:solidFill>
              <a:prstDash val="dash"/>
              <a:round/>
            </a:ln>
          </c:spPr>
          <c:marker>
            <c:symbol val="square"/>
            <c:size val="7"/>
            <c:spPr>
              <a:solidFill>
                <a:srgbClr val="0070C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G1_Динаміка_індексів!$B$6:$F$6</c:f>
              <c:strCache>
                <c:ptCount val="5"/>
                <c:pt idx="0">
                  <c:v>Доба 5</c:v>
                </c:pt>
                <c:pt idx="1">
                  <c:v>Доба 10</c:v>
                </c:pt>
                <c:pt idx="2">
                  <c:v>Доба 20</c:v>
                </c:pt>
                <c:pt idx="3">
                  <c:v>Доба 40</c:v>
                </c:pt>
                <c:pt idx="4">
                  <c:v>Доба 80</c:v>
                </c:pt>
              </c:strCache>
            </c:strRef>
          </c:cat>
          <c:val>
            <c:numRef>
              <c:f>G1_Динаміка_індексів!$B$8:$F$8</c:f>
              <c:numCache>
                <c:formatCode>0.000</c:formatCode>
                <c:ptCount val="5"/>
                <c:pt idx="0">
                  <c:v>0.12727572427572426</c:v>
                </c:pt>
                <c:pt idx="1">
                  <c:v>0.24266650016650021</c:v>
                </c:pt>
                <c:pt idx="2">
                  <c:v>0.40956878538128544</c:v>
                </c:pt>
                <c:pt idx="3">
                  <c:v>0.52211775724275722</c:v>
                </c:pt>
                <c:pt idx="4">
                  <c:v>0.66959371878121876</c:v>
                </c:pt>
              </c:numCache>
            </c:numRef>
          </c:val>
          <c:smooth val="0"/>
        </c:ser>
        <c:ser>
          <c:idx val="2"/>
          <c:order val="2"/>
          <c:tx>
            <c:strRef>
              <c:f>G1_Динаміка_індексів!$A$9</c:f>
              <c:strCache>
                <c:ptCount val="1"/>
                <c:pt idx="0">
                  <c:v>FRI (функціональне відновлення)</c:v>
                </c:pt>
              </c:strCache>
            </c:strRef>
          </c:tx>
          <c:spPr>
            <a:ln w="28440">
              <a:solidFill>
                <a:srgbClr val="00A651"/>
              </a:solidFill>
              <a:prstDash val="sysDot"/>
              <a:round/>
            </a:ln>
          </c:spPr>
          <c:marker>
            <c:symbol val="triangle"/>
            <c:size val="7"/>
            <c:spPr>
              <a:solidFill>
                <a:srgbClr val="00A651"/>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G1_Динаміка_індексів!$B$6:$F$6</c:f>
              <c:strCache>
                <c:ptCount val="5"/>
                <c:pt idx="0">
                  <c:v>Доба 5</c:v>
                </c:pt>
                <c:pt idx="1">
                  <c:v>Доба 10</c:v>
                </c:pt>
                <c:pt idx="2">
                  <c:v>Доба 20</c:v>
                </c:pt>
                <c:pt idx="3">
                  <c:v>Доба 40</c:v>
                </c:pt>
                <c:pt idx="4">
                  <c:v>Доба 80</c:v>
                </c:pt>
              </c:strCache>
            </c:strRef>
          </c:cat>
          <c:val>
            <c:numRef>
              <c:f>G1_Динаміка_індексів!$B$9:$F$9</c:f>
              <c:numCache>
                <c:formatCode>0.000</c:formatCode>
                <c:ptCount val="5"/>
                <c:pt idx="0">
                  <c:v>0.11959768725897764</c:v>
                </c:pt>
                <c:pt idx="1">
                  <c:v>0.31031700263683176</c:v>
                </c:pt>
                <c:pt idx="2">
                  <c:v>0.47791951574674529</c:v>
                </c:pt>
                <c:pt idx="3">
                  <c:v>0.64342449267999524</c:v>
                </c:pt>
                <c:pt idx="4">
                  <c:v>0.75958541221586739</c:v>
                </c:pt>
              </c:numCache>
            </c:numRef>
          </c:val>
          <c:smooth val="0"/>
        </c:ser>
        <c:ser>
          <c:idx val="3"/>
          <c:order val="3"/>
          <c:tx>
            <c:strRef>
              <c:f>G1_Динаміка_індексів!$A$10</c:f>
              <c:strCache>
                <c:ptCount val="1"/>
                <c:pt idx="0">
                  <c:v>DMI (модифікація процесу)</c:v>
                </c:pt>
              </c:strCache>
            </c:strRef>
          </c:tx>
          <c:spPr>
            <a:ln w="28440">
              <a:solidFill>
                <a:srgbClr val="7030A0"/>
              </a:solidFill>
              <a:prstDash val="dashDot"/>
              <a:round/>
            </a:ln>
          </c:spPr>
          <c:marker>
            <c:symbol val="diamond"/>
            <c:size val="7"/>
            <c:spPr>
              <a:solidFill>
                <a:srgbClr val="7030A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G1_Динаміка_індексів!$B$6:$F$6</c:f>
              <c:strCache>
                <c:ptCount val="5"/>
                <c:pt idx="0">
                  <c:v>Доба 5</c:v>
                </c:pt>
                <c:pt idx="1">
                  <c:v>Доба 10</c:v>
                </c:pt>
                <c:pt idx="2">
                  <c:v>Доба 20</c:v>
                </c:pt>
                <c:pt idx="3">
                  <c:v>Доба 40</c:v>
                </c:pt>
                <c:pt idx="4">
                  <c:v>Доба 80</c:v>
                </c:pt>
              </c:strCache>
            </c:strRef>
          </c:cat>
          <c:val>
            <c:numRef>
              <c:f>G1_Динаміка_індексів!$B$10:$F$10</c:f>
              <c:numCache>
                <c:formatCode>0.000</c:formatCode>
                <c:ptCount val="5"/>
                <c:pt idx="0">
                  <c:v>0.11567968559218558</c:v>
                </c:pt>
                <c:pt idx="1">
                  <c:v>0.25081529304029304</c:v>
                </c:pt>
                <c:pt idx="2">
                  <c:v>0.40660666590354089</c:v>
                </c:pt>
                <c:pt idx="3">
                  <c:v>0.50635106074481073</c:v>
                </c:pt>
                <c:pt idx="4">
                  <c:v>0.65753875534188033</c:v>
                </c:pt>
              </c:numCache>
            </c:numRef>
          </c:val>
          <c:smooth val="0"/>
        </c:ser>
        <c:dLbls>
          <c:showLegendKey val="0"/>
          <c:showVal val="0"/>
          <c:showCatName val="0"/>
          <c:showSerName val="0"/>
          <c:showPercent val="0"/>
          <c:showBubbleSize val="0"/>
        </c:dLbls>
        <c:hiLowLines>
          <c:spPr>
            <a:ln w="0">
              <a:noFill/>
            </a:ln>
          </c:spPr>
        </c:hiLowLines>
        <c:marker val="1"/>
        <c:smooth val="0"/>
        <c:axId val="-1168744288"/>
        <c:axId val="-1079359008"/>
      </c:lineChart>
      <c:catAx>
        <c:axId val="-1168744288"/>
        <c:scaling>
          <c:orientation val="minMax"/>
        </c:scaling>
        <c:delete val="0"/>
        <c:axPos val="b"/>
        <c:title>
          <c:tx>
            <c:rich>
              <a:bodyPr rot="0"/>
              <a:lstStyle/>
              <a:p>
                <a:pPr>
                  <a:defRPr lang="uk-UA" sz="1000" b="1" strike="noStrike" spc="-1">
                    <a:solidFill>
                      <a:srgbClr val="000000"/>
                    </a:solidFill>
                    <a:latin typeface="Calibri"/>
                  </a:defRPr>
                </a:pPr>
                <a:r>
                  <a:rPr lang="uk-UA" sz="1000" b="1" strike="noStrike" spc="-1">
                    <a:solidFill>
                      <a:srgbClr val="000000"/>
                    </a:solidFill>
                    <a:latin typeface="Calibri"/>
                  </a:rPr>
                  <a:t>Контрольна точка</a:t>
                </a:r>
              </a:p>
            </c:rich>
          </c:tx>
          <c:layout/>
          <c:overlay val="0"/>
          <c:spPr>
            <a:noFill/>
            <a:ln w="0">
              <a:noFill/>
            </a:ln>
          </c:spPr>
        </c:title>
        <c:numFmt formatCode="General" sourceLinked="0"/>
        <c:majorTickMark val="none"/>
        <c:minorTickMark val="none"/>
        <c:tickLblPos val="nextTo"/>
        <c:spPr>
          <a:ln w="0">
            <a:solidFill>
              <a:srgbClr val="B3B3B3"/>
            </a:solidFill>
          </a:ln>
        </c:spPr>
        <c:txPr>
          <a:bodyPr/>
          <a:lstStyle/>
          <a:p>
            <a:pPr>
              <a:defRPr sz="900" b="0" strike="noStrike" spc="-1">
                <a:solidFill>
                  <a:srgbClr val="000000"/>
                </a:solidFill>
                <a:latin typeface="Calibri"/>
              </a:defRPr>
            </a:pPr>
            <a:endParaRPr lang="uk-UA"/>
          </a:p>
        </c:txPr>
        <c:crossAx val="-1079359008"/>
        <c:crosses val="autoZero"/>
        <c:auto val="1"/>
        <c:lblAlgn val="ctr"/>
        <c:lblOffset val="100"/>
        <c:noMultiLvlLbl val="0"/>
      </c:catAx>
      <c:valAx>
        <c:axId val="-1079359008"/>
        <c:scaling>
          <c:orientation val="minMax"/>
          <c:max val="1"/>
          <c:min val="0"/>
        </c:scaling>
        <c:delete val="0"/>
        <c:axPos val="l"/>
        <c:majorGridlines>
          <c:spPr>
            <a:ln w="0">
              <a:solidFill>
                <a:srgbClr val="B3B3B3"/>
              </a:solidFill>
            </a:ln>
          </c:spPr>
        </c:majorGridlines>
        <c:title>
          <c:tx>
            <c:rich>
              <a:bodyPr rot="-5400000"/>
              <a:lstStyle/>
              <a:p>
                <a:pPr>
                  <a:defRPr lang="uk-UA" sz="1000" b="1" strike="noStrike" spc="-1">
                    <a:solidFill>
                      <a:srgbClr val="000000"/>
                    </a:solidFill>
                    <a:latin typeface="Calibri"/>
                  </a:defRPr>
                </a:pPr>
                <a:r>
                  <a:rPr lang="uk-UA" sz="1000" b="1" strike="noStrike" spc="-1">
                    <a:solidFill>
                      <a:srgbClr val="000000"/>
                    </a:solidFill>
                    <a:latin typeface="Calibri"/>
                  </a:rPr>
                  <a:t>Значення індексу (0–1)</a:t>
                </a:r>
              </a:p>
            </c:rich>
          </c:tx>
          <c:layout/>
          <c:overlay val="0"/>
          <c:spPr>
            <a:noFill/>
            <a:ln w="0">
              <a:noFill/>
            </a:ln>
          </c:spPr>
        </c:title>
        <c:numFmt formatCode="0.000" sourceLinked="0"/>
        <c:majorTickMark val="none"/>
        <c:minorTickMark val="none"/>
        <c:tickLblPos val="nextTo"/>
        <c:spPr>
          <a:ln w="0">
            <a:solidFill>
              <a:srgbClr val="B3B3B3"/>
            </a:solidFill>
          </a:ln>
        </c:spPr>
        <c:txPr>
          <a:bodyPr/>
          <a:lstStyle/>
          <a:p>
            <a:pPr>
              <a:defRPr sz="900" b="0" strike="noStrike" spc="-1">
                <a:solidFill>
                  <a:srgbClr val="000000"/>
                </a:solidFill>
                <a:latin typeface="Calibri"/>
              </a:defRPr>
            </a:pPr>
            <a:endParaRPr lang="uk-UA"/>
          </a:p>
        </c:txPr>
        <c:crossAx val="-1168744288"/>
        <c:crosses val="autoZero"/>
        <c:crossBetween val="between"/>
      </c:valAx>
      <c:spPr>
        <a:noFill/>
        <a:ln w="0">
          <a:noFill/>
        </a:ln>
      </c:spPr>
    </c:plotArea>
    <c:legend>
      <c:legendPos val="b"/>
      <c:layout/>
      <c:overlay val="0"/>
      <c:spPr>
        <a:noFill/>
        <a:ln w="0">
          <a:noFill/>
        </a:ln>
      </c:spPr>
      <c:txPr>
        <a:bodyPr/>
        <a:lstStyle/>
        <a:p>
          <a:pPr>
            <a:defRPr sz="1000" b="0" strike="noStrike" spc="-1">
              <a:solidFill>
                <a:srgbClr val="000000"/>
              </a:solidFill>
              <a:latin typeface="Calibri"/>
            </a:defRPr>
          </a:pPr>
          <a:endParaRPr lang="uk-UA"/>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uk-UA"/>
  <c:roundedCorners val="0"/>
  <c:style val="2"/>
  <c:chart>
    <c:title>
      <c:tx>
        <c:rich>
          <a:bodyPr rot="0"/>
          <a:lstStyle/>
          <a:p>
            <a:pPr>
              <a:defRPr lang="uk-UA" sz="1800" b="1" strike="noStrike" spc="-1">
                <a:solidFill>
                  <a:srgbClr val="000000"/>
                </a:solidFill>
                <a:latin typeface="Calibri"/>
              </a:defRPr>
            </a:pPr>
            <a:r>
              <a:rPr lang="uk-UA" sz="1800" b="1" strike="noStrike" spc="-1">
                <a:solidFill>
                  <a:srgbClr val="000000"/>
                </a:solidFill>
                <a:latin typeface="Calibri"/>
              </a:rPr>
              <a:t>Динаміка доменів</a:t>
            </a:r>
          </a:p>
        </c:rich>
      </c:tx>
      <c:overlay val="0"/>
      <c:spPr>
        <a:noFill/>
        <a:ln w="0">
          <a:noFill/>
        </a:ln>
      </c:spPr>
    </c:title>
    <c:autoTitleDeleted val="0"/>
    <c:plotArea>
      <c:layout/>
      <c:lineChart>
        <c:grouping val="standard"/>
        <c:varyColors val="0"/>
        <c:ser>
          <c:idx val="0"/>
          <c:order val="0"/>
          <c:tx>
            <c:strRef>
              <c:f>G1_Динаміка_індексів!$A$14</c:f>
              <c:strCache>
                <c:ptCount val="1"/>
                <c:pt idx="0">
                  <c:v>Pain (біль)</c:v>
                </c:pt>
              </c:strCache>
            </c:strRef>
          </c:tx>
          <c:spPr>
            <a:ln w="28440">
              <a:solidFill>
                <a:srgbClr val="C00000"/>
              </a:solidFill>
              <a:round/>
            </a:ln>
          </c:spPr>
          <c:marker>
            <c:symbol val="circle"/>
            <c:size val="7"/>
            <c:spPr>
              <a:solidFill>
                <a:srgbClr val="C0000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G1_Динаміка_індексів!$B$13:$F$13</c:f>
              <c:strCache>
                <c:ptCount val="5"/>
                <c:pt idx="0">
                  <c:v>Доба 5</c:v>
                </c:pt>
                <c:pt idx="1">
                  <c:v>Доба 10</c:v>
                </c:pt>
                <c:pt idx="2">
                  <c:v>Доба 20</c:v>
                </c:pt>
                <c:pt idx="3">
                  <c:v>Доба 40</c:v>
                </c:pt>
                <c:pt idx="4">
                  <c:v>Доба 80</c:v>
                </c:pt>
              </c:strCache>
            </c:strRef>
          </c:cat>
          <c:val>
            <c:numRef>
              <c:f>G1_Динаміка_індексів!$B$14:$F$14</c:f>
              <c:numCache>
                <c:formatCode>0.000</c:formatCode>
                <c:ptCount val="5"/>
                <c:pt idx="0">
                  <c:v>8.0313958695915622E-2</c:v>
                </c:pt>
                <c:pt idx="1">
                  <c:v>0.27529076312033202</c:v>
                </c:pt>
                <c:pt idx="2">
                  <c:v>0.44284466440026971</c:v>
                </c:pt>
                <c:pt idx="3">
                  <c:v>0.63249222869575084</c:v>
                </c:pt>
                <c:pt idx="4">
                  <c:v>0.77486566087358666</c:v>
                </c:pt>
              </c:numCache>
            </c:numRef>
          </c:val>
          <c:smooth val="0"/>
        </c:ser>
        <c:ser>
          <c:idx val="1"/>
          <c:order val="1"/>
          <c:tx>
            <c:strRef>
              <c:f>G1_Динаміка_індексів!$A$15</c:f>
              <c:strCache>
                <c:ptCount val="1"/>
                <c:pt idx="0">
                  <c:v>Neuro (нейро/ПТСР)</c:v>
                </c:pt>
              </c:strCache>
            </c:strRef>
          </c:tx>
          <c:spPr>
            <a:ln w="28440">
              <a:solidFill>
                <a:srgbClr val="0070C0"/>
              </a:solidFill>
              <a:prstDash val="dash"/>
              <a:round/>
            </a:ln>
          </c:spPr>
          <c:marker>
            <c:symbol val="square"/>
            <c:size val="7"/>
            <c:spPr>
              <a:solidFill>
                <a:srgbClr val="0070C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G1_Динаміка_індексів!$B$13:$F$13</c:f>
              <c:strCache>
                <c:ptCount val="5"/>
                <c:pt idx="0">
                  <c:v>Доба 5</c:v>
                </c:pt>
                <c:pt idx="1">
                  <c:v>Доба 10</c:v>
                </c:pt>
                <c:pt idx="2">
                  <c:v>Доба 20</c:v>
                </c:pt>
                <c:pt idx="3">
                  <c:v>Доба 40</c:v>
                </c:pt>
                <c:pt idx="4">
                  <c:v>Доба 80</c:v>
                </c:pt>
              </c:strCache>
            </c:strRef>
          </c:cat>
          <c:val>
            <c:numRef>
              <c:f>G1_Динаміка_індексів!$B$15:$F$15</c:f>
              <c:numCache>
                <c:formatCode>0.000</c:formatCode>
                <c:ptCount val="5"/>
                <c:pt idx="0">
                  <c:v>9.8194956390588409E-2</c:v>
                </c:pt>
                <c:pt idx="1">
                  <c:v>0.24515694160638435</c:v>
                </c:pt>
                <c:pt idx="2">
                  <c:v>0.4048534826079872</c:v>
                </c:pt>
                <c:pt idx="3">
                  <c:v>0.55094563112295947</c:v>
                </c:pt>
                <c:pt idx="4">
                  <c:v>0.74017941535315135</c:v>
                </c:pt>
              </c:numCache>
            </c:numRef>
          </c:val>
          <c:smooth val="0"/>
        </c:ser>
        <c:ser>
          <c:idx val="2"/>
          <c:order val="2"/>
          <c:tx>
            <c:strRef>
              <c:f>G1_Динаміка_індексів!$A$16</c:f>
              <c:strCache>
                <c:ptCount val="1"/>
                <c:pt idx="0">
                  <c:v>ANS (вегетативний)</c:v>
                </c:pt>
              </c:strCache>
            </c:strRef>
          </c:tx>
          <c:spPr>
            <a:ln w="28440">
              <a:solidFill>
                <a:srgbClr val="00A651"/>
              </a:solidFill>
              <a:prstDash val="sysDot"/>
              <a:round/>
            </a:ln>
          </c:spPr>
          <c:marker>
            <c:symbol val="triangle"/>
            <c:size val="7"/>
            <c:spPr>
              <a:solidFill>
                <a:srgbClr val="00A651"/>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G1_Динаміка_індексів!$B$13:$F$13</c:f>
              <c:strCache>
                <c:ptCount val="5"/>
                <c:pt idx="0">
                  <c:v>Доба 5</c:v>
                </c:pt>
                <c:pt idx="1">
                  <c:v>Доба 10</c:v>
                </c:pt>
                <c:pt idx="2">
                  <c:v>Доба 20</c:v>
                </c:pt>
                <c:pt idx="3">
                  <c:v>Доба 40</c:v>
                </c:pt>
                <c:pt idx="4">
                  <c:v>Доба 80</c:v>
                </c:pt>
              </c:strCache>
            </c:strRef>
          </c:cat>
          <c:val>
            <c:numRef>
              <c:f>G1_Динаміка_індексів!$B$16:$F$16</c:f>
              <c:numCache>
                <c:formatCode>0.000</c:formatCode>
                <c:ptCount val="5"/>
                <c:pt idx="0">
                  <c:v>0.1648905718396996</c:v>
                </c:pt>
                <c:pt idx="1">
                  <c:v>0.27382733086161087</c:v>
                </c:pt>
                <c:pt idx="2">
                  <c:v>0.46136783136066095</c:v>
                </c:pt>
                <c:pt idx="3">
                  <c:v>0.55770300132254491</c:v>
                </c:pt>
                <c:pt idx="4">
                  <c:v>0.72982881712720449</c:v>
                </c:pt>
              </c:numCache>
            </c:numRef>
          </c:val>
          <c:smooth val="0"/>
        </c:ser>
        <c:ser>
          <c:idx val="3"/>
          <c:order val="3"/>
          <c:tx>
            <c:strRef>
              <c:f>G1_Динаміка_індексів!$A$17</c:f>
              <c:strCache>
                <c:ptCount val="1"/>
                <c:pt idx="0">
                  <c:v>Function (функція)</c:v>
                </c:pt>
              </c:strCache>
            </c:strRef>
          </c:tx>
          <c:spPr>
            <a:ln w="28440">
              <a:solidFill>
                <a:srgbClr val="7030A0"/>
              </a:solidFill>
              <a:prstDash val="dashDot"/>
              <a:round/>
            </a:ln>
          </c:spPr>
          <c:marker>
            <c:symbol val="diamond"/>
            <c:size val="7"/>
            <c:spPr>
              <a:solidFill>
                <a:srgbClr val="7030A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G1_Динаміка_індексів!$B$13:$F$13</c:f>
              <c:strCache>
                <c:ptCount val="5"/>
                <c:pt idx="0">
                  <c:v>Доба 5</c:v>
                </c:pt>
                <c:pt idx="1">
                  <c:v>Доба 10</c:v>
                </c:pt>
                <c:pt idx="2">
                  <c:v>Доба 20</c:v>
                </c:pt>
                <c:pt idx="3">
                  <c:v>Доба 40</c:v>
                </c:pt>
                <c:pt idx="4">
                  <c:v>Доба 80</c:v>
                </c:pt>
              </c:strCache>
            </c:strRef>
          </c:cat>
          <c:val>
            <c:numRef>
              <c:f>G1_Динаміка_індексів!$B$17:$F$17</c:f>
              <c:numCache>
                <c:formatCode>0.000</c:formatCode>
                <c:ptCount val="5"/>
                <c:pt idx="0">
                  <c:v>0.12486117436023102</c:v>
                </c:pt>
                <c:pt idx="1">
                  <c:v>0.29235764078072624</c:v>
                </c:pt>
                <c:pt idx="2">
                  <c:v>0.4675751543868637</c:v>
                </c:pt>
                <c:pt idx="3">
                  <c:v>0.65103678063211923</c:v>
                </c:pt>
                <c:pt idx="4">
                  <c:v>0.76595520913295612</c:v>
                </c:pt>
              </c:numCache>
            </c:numRef>
          </c:val>
          <c:smooth val="0"/>
        </c:ser>
        <c:ser>
          <c:idx val="4"/>
          <c:order val="4"/>
          <c:tx>
            <c:strRef>
              <c:f>G1_Динаміка_індексів!$A$18</c:f>
              <c:strCache>
                <c:ptCount val="1"/>
                <c:pt idx="0">
                  <c:v>Trophic (трофіка)</c:v>
                </c:pt>
              </c:strCache>
            </c:strRef>
          </c:tx>
          <c:spPr>
            <a:ln w="28440">
              <a:solidFill>
                <a:srgbClr val="E36C0A"/>
              </a:solidFill>
              <a:prstDash val="lgDash"/>
              <a:round/>
            </a:ln>
          </c:spPr>
          <c:marker>
            <c:symbol val="x"/>
            <c:size val="7"/>
            <c:spPr>
              <a:solidFill>
                <a:srgbClr val="E36C0A"/>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G1_Динаміка_індексів!$B$13:$F$13</c:f>
              <c:strCache>
                <c:ptCount val="5"/>
                <c:pt idx="0">
                  <c:v>Доба 5</c:v>
                </c:pt>
                <c:pt idx="1">
                  <c:v>Доба 10</c:v>
                </c:pt>
                <c:pt idx="2">
                  <c:v>Доба 20</c:v>
                </c:pt>
                <c:pt idx="3">
                  <c:v>Доба 40</c:v>
                </c:pt>
                <c:pt idx="4">
                  <c:v>Доба 80</c:v>
                </c:pt>
              </c:strCache>
            </c:strRef>
          </c:cat>
          <c:val>
            <c:numRef>
              <c:f>G1_Динаміка_індексів!$B$18:$F$18</c:f>
              <c:numCache>
                <c:formatCode>0.000</c:formatCode>
                <c:ptCount val="5"/>
                <c:pt idx="0">
                  <c:v>0.1495877895981087</c:v>
                </c:pt>
                <c:pt idx="1">
                  <c:v>0.2161196690307329</c:v>
                </c:pt>
                <c:pt idx="2">
                  <c:v>0.39044562943262417</c:v>
                </c:pt>
                <c:pt idx="3">
                  <c:v>0.57589764184397174</c:v>
                </c:pt>
                <c:pt idx="4">
                  <c:v>0.73712325945626489</c:v>
                </c:pt>
              </c:numCache>
            </c:numRef>
          </c:val>
          <c:smooth val="0"/>
        </c:ser>
        <c:dLbls>
          <c:showLegendKey val="0"/>
          <c:showVal val="0"/>
          <c:showCatName val="0"/>
          <c:showSerName val="0"/>
          <c:showPercent val="0"/>
          <c:showBubbleSize val="0"/>
        </c:dLbls>
        <c:hiLowLines>
          <c:spPr>
            <a:ln w="0">
              <a:noFill/>
            </a:ln>
          </c:spPr>
        </c:hiLowLines>
        <c:marker val="1"/>
        <c:smooth val="0"/>
        <c:axId val="-1079365536"/>
        <c:axId val="-1079361184"/>
      </c:lineChart>
      <c:catAx>
        <c:axId val="-1079365536"/>
        <c:scaling>
          <c:orientation val="minMax"/>
        </c:scaling>
        <c:delete val="0"/>
        <c:axPos val="b"/>
        <c:title>
          <c:tx>
            <c:rich>
              <a:bodyPr rot="0"/>
              <a:lstStyle/>
              <a:p>
                <a:pPr>
                  <a:defRPr lang="uk-UA" sz="1000" b="1" strike="noStrike" spc="-1">
                    <a:solidFill>
                      <a:srgbClr val="000000"/>
                    </a:solidFill>
                    <a:latin typeface="Calibri"/>
                  </a:defRPr>
                </a:pPr>
                <a:r>
                  <a:rPr lang="uk-UA" sz="1000" b="1" strike="noStrike" spc="-1">
                    <a:solidFill>
                      <a:srgbClr val="000000"/>
                    </a:solidFill>
                    <a:latin typeface="Calibri"/>
                  </a:rPr>
                  <a:t>Контрольна точка</a:t>
                </a:r>
              </a:p>
            </c:rich>
          </c:tx>
          <c:overlay val="0"/>
          <c:spPr>
            <a:noFill/>
            <a:ln w="0">
              <a:noFill/>
            </a:ln>
          </c:spPr>
        </c:title>
        <c:numFmt formatCode="General" sourceLinked="0"/>
        <c:majorTickMark val="none"/>
        <c:minorTickMark val="none"/>
        <c:tickLblPos val="nextTo"/>
        <c:spPr>
          <a:ln w="0">
            <a:solidFill>
              <a:srgbClr val="B3B3B3"/>
            </a:solidFill>
          </a:ln>
        </c:spPr>
        <c:txPr>
          <a:bodyPr/>
          <a:lstStyle/>
          <a:p>
            <a:pPr>
              <a:defRPr sz="900" b="0" strike="noStrike" spc="-1">
                <a:solidFill>
                  <a:srgbClr val="000000"/>
                </a:solidFill>
                <a:latin typeface="Calibri"/>
              </a:defRPr>
            </a:pPr>
            <a:endParaRPr lang="uk-UA"/>
          </a:p>
        </c:txPr>
        <c:crossAx val="-1079361184"/>
        <c:crosses val="autoZero"/>
        <c:auto val="1"/>
        <c:lblAlgn val="ctr"/>
        <c:lblOffset val="100"/>
        <c:noMultiLvlLbl val="0"/>
      </c:catAx>
      <c:valAx>
        <c:axId val="-1079361184"/>
        <c:scaling>
          <c:orientation val="minMax"/>
          <c:max val="1"/>
          <c:min val="0"/>
        </c:scaling>
        <c:delete val="0"/>
        <c:axPos val="l"/>
        <c:majorGridlines>
          <c:spPr>
            <a:ln w="0">
              <a:solidFill>
                <a:srgbClr val="B3B3B3"/>
              </a:solidFill>
            </a:ln>
          </c:spPr>
        </c:majorGridlines>
        <c:title>
          <c:tx>
            <c:rich>
              <a:bodyPr rot="-5400000"/>
              <a:lstStyle/>
              <a:p>
                <a:pPr>
                  <a:defRPr lang="uk-UA" sz="1000" b="1" strike="noStrike" spc="-1">
                    <a:solidFill>
                      <a:srgbClr val="000000"/>
                    </a:solidFill>
                    <a:latin typeface="Calibri"/>
                  </a:defRPr>
                </a:pPr>
                <a:r>
                  <a:rPr lang="uk-UA" sz="1000" b="1" strike="noStrike" spc="-1">
                    <a:solidFill>
                      <a:srgbClr val="000000"/>
                    </a:solidFill>
                    <a:latin typeface="Calibri"/>
                  </a:rPr>
                  <a:t>Нормалізований бал (0–1)</a:t>
                </a:r>
              </a:p>
            </c:rich>
          </c:tx>
          <c:overlay val="0"/>
          <c:spPr>
            <a:noFill/>
            <a:ln w="0">
              <a:noFill/>
            </a:ln>
          </c:spPr>
        </c:title>
        <c:numFmt formatCode="0.000" sourceLinked="0"/>
        <c:majorTickMark val="none"/>
        <c:minorTickMark val="none"/>
        <c:tickLblPos val="nextTo"/>
        <c:spPr>
          <a:ln w="0">
            <a:solidFill>
              <a:srgbClr val="B3B3B3"/>
            </a:solidFill>
          </a:ln>
        </c:spPr>
        <c:txPr>
          <a:bodyPr/>
          <a:lstStyle/>
          <a:p>
            <a:pPr>
              <a:defRPr sz="900" b="0" strike="noStrike" spc="-1">
                <a:solidFill>
                  <a:srgbClr val="000000"/>
                </a:solidFill>
                <a:latin typeface="Calibri"/>
              </a:defRPr>
            </a:pPr>
            <a:endParaRPr lang="uk-UA"/>
          </a:p>
        </c:txPr>
        <c:crossAx val="-1079365536"/>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uk-UA"/>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uk-UA"/>
  <c:roundedCorners val="0"/>
  <c:style val="2"/>
  <c:chart>
    <c:title>
      <c:tx>
        <c:rich>
          <a:bodyPr rot="0"/>
          <a:lstStyle/>
          <a:p>
            <a:pPr>
              <a:defRPr lang="uk-UA" sz="1800" b="1" strike="noStrike" spc="-1">
                <a:solidFill>
                  <a:srgbClr val="000000"/>
                </a:solidFill>
                <a:latin typeface="Calibri"/>
              </a:defRPr>
            </a:pPr>
            <a:r>
              <a:rPr lang="uk-UA" sz="1800" b="1" strike="noStrike" spc="-1">
                <a:solidFill>
                  <a:srgbClr val="000000"/>
                </a:solidFill>
                <a:latin typeface="Calibri"/>
              </a:rPr>
              <a:t>Траєкторія композитного індексу CREI</a:t>
            </a:r>
          </a:p>
        </c:rich>
      </c:tx>
      <c:overlay val="0"/>
      <c:spPr>
        <a:noFill/>
        <a:ln w="0">
          <a:noFill/>
        </a:ln>
      </c:spPr>
    </c:title>
    <c:autoTitleDeleted val="0"/>
    <c:plotArea>
      <c:layout/>
      <c:lineChart>
        <c:grouping val="standard"/>
        <c:varyColors val="0"/>
        <c:ser>
          <c:idx val="0"/>
          <c:order val="0"/>
          <c:tx>
            <c:strRef>
              <c:f>G1_Динаміка_індексів!$A$22</c:f>
              <c:strCache>
                <c:ptCount val="1"/>
                <c:pt idx="0">
                  <c:v>CREI (композитний)</c:v>
                </c:pt>
              </c:strCache>
            </c:strRef>
          </c:tx>
          <c:spPr>
            <a:ln w="28440">
              <a:solidFill>
                <a:srgbClr val="C00000"/>
              </a:solidFill>
              <a:round/>
            </a:ln>
          </c:spPr>
          <c:marker>
            <c:symbol val="circle"/>
            <c:size val="7"/>
            <c:spPr>
              <a:solidFill>
                <a:srgbClr val="C0000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G1_Динаміка_індексів!$B$21:$F$21</c:f>
              <c:strCache>
                <c:ptCount val="5"/>
                <c:pt idx="0">
                  <c:v>Доба 5</c:v>
                </c:pt>
                <c:pt idx="1">
                  <c:v>Доба 10</c:v>
                </c:pt>
                <c:pt idx="2">
                  <c:v>Доба 20</c:v>
                </c:pt>
                <c:pt idx="3">
                  <c:v>Доба 40</c:v>
                </c:pt>
                <c:pt idx="4">
                  <c:v>Доба 80</c:v>
                </c:pt>
              </c:strCache>
            </c:strRef>
          </c:cat>
          <c:val>
            <c:numRef>
              <c:f>G1_Динаміка_індексів!$B$22:$F$22</c:f>
              <c:numCache>
                <c:formatCode>0.000</c:formatCode>
                <c:ptCount val="5"/>
                <c:pt idx="0">
                  <c:v>0.11330752631423381</c:v>
                </c:pt>
                <c:pt idx="1">
                  <c:v>0.26503405902615584</c:v>
                </c:pt>
                <c:pt idx="2">
                  <c:v>0.435831538496812</c:v>
                </c:pt>
                <c:pt idx="3">
                  <c:v>0.59893664689866788</c:v>
                </c:pt>
                <c:pt idx="4">
                  <c:v>0.75388224244166224</c:v>
                </c:pt>
              </c:numCache>
            </c:numRef>
          </c:val>
          <c:smooth val="0"/>
        </c:ser>
        <c:dLbls>
          <c:showLegendKey val="0"/>
          <c:showVal val="0"/>
          <c:showCatName val="0"/>
          <c:showSerName val="0"/>
          <c:showPercent val="0"/>
          <c:showBubbleSize val="0"/>
        </c:dLbls>
        <c:hiLowLines>
          <c:spPr>
            <a:ln w="0">
              <a:noFill/>
            </a:ln>
          </c:spPr>
        </c:hiLowLines>
        <c:marker val="1"/>
        <c:smooth val="0"/>
        <c:axId val="-1079363904"/>
        <c:axId val="-1079362272"/>
      </c:lineChart>
      <c:catAx>
        <c:axId val="-1079363904"/>
        <c:scaling>
          <c:orientation val="minMax"/>
        </c:scaling>
        <c:delete val="0"/>
        <c:axPos val="b"/>
        <c:title>
          <c:tx>
            <c:rich>
              <a:bodyPr rot="0"/>
              <a:lstStyle/>
              <a:p>
                <a:pPr>
                  <a:defRPr lang="uk-UA" sz="1000" b="1" strike="noStrike" spc="-1">
                    <a:solidFill>
                      <a:srgbClr val="000000"/>
                    </a:solidFill>
                    <a:latin typeface="Calibri"/>
                  </a:defRPr>
                </a:pPr>
                <a:r>
                  <a:rPr lang="uk-UA" sz="1000" b="1" strike="noStrike" spc="-1">
                    <a:solidFill>
                      <a:srgbClr val="000000"/>
                    </a:solidFill>
                    <a:latin typeface="Calibri"/>
                  </a:rPr>
                  <a:t>Контрольна точка</a:t>
                </a:r>
              </a:p>
            </c:rich>
          </c:tx>
          <c:overlay val="0"/>
          <c:spPr>
            <a:noFill/>
            <a:ln w="0">
              <a:noFill/>
            </a:ln>
          </c:spPr>
        </c:title>
        <c:numFmt formatCode="General" sourceLinked="0"/>
        <c:majorTickMark val="none"/>
        <c:minorTickMark val="none"/>
        <c:tickLblPos val="nextTo"/>
        <c:spPr>
          <a:ln w="0">
            <a:solidFill>
              <a:srgbClr val="B3B3B3"/>
            </a:solidFill>
          </a:ln>
        </c:spPr>
        <c:txPr>
          <a:bodyPr/>
          <a:lstStyle/>
          <a:p>
            <a:pPr>
              <a:defRPr sz="900" b="0" strike="noStrike" spc="-1">
                <a:solidFill>
                  <a:srgbClr val="000000"/>
                </a:solidFill>
                <a:latin typeface="Calibri"/>
              </a:defRPr>
            </a:pPr>
            <a:endParaRPr lang="uk-UA"/>
          </a:p>
        </c:txPr>
        <c:crossAx val="-1079362272"/>
        <c:crosses val="autoZero"/>
        <c:auto val="1"/>
        <c:lblAlgn val="ctr"/>
        <c:lblOffset val="100"/>
        <c:noMultiLvlLbl val="0"/>
      </c:catAx>
      <c:valAx>
        <c:axId val="-1079362272"/>
        <c:scaling>
          <c:orientation val="minMax"/>
          <c:max val="1"/>
          <c:min val="0"/>
        </c:scaling>
        <c:delete val="0"/>
        <c:axPos val="l"/>
        <c:majorGridlines>
          <c:spPr>
            <a:ln w="0">
              <a:solidFill>
                <a:srgbClr val="B3B3B3"/>
              </a:solidFill>
            </a:ln>
          </c:spPr>
        </c:majorGridlines>
        <c:title>
          <c:tx>
            <c:rich>
              <a:bodyPr rot="-5400000"/>
              <a:lstStyle/>
              <a:p>
                <a:pPr>
                  <a:defRPr lang="en-US" sz="1000" b="1" strike="noStrike" spc="-1">
                    <a:solidFill>
                      <a:srgbClr val="000000"/>
                    </a:solidFill>
                    <a:latin typeface="Calibri"/>
                  </a:defRPr>
                </a:pPr>
                <a:r>
                  <a:rPr lang="en-US" sz="1000" b="1" strike="noStrike" spc="-1">
                    <a:solidFill>
                      <a:srgbClr val="000000"/>
                    </a:solidFill>
                    <a:latin typeface="Calibri"/>
                  </a:rPr>
                  <a:t>CREI (0–1)</a:t>
                </a:r>
              </a:p>
            </c:rich>
          </c:tx>
          <c:overlay val="0"/>
          <c:spPr>
            <a:noFill/>
            <a:ln w="0">
              <a:noFill/>
            </a:ln>
          </c:spPr>
        </c:title>
        <c:numFmt formatCode="0.000" sourceLinked="0"/>
        <c:majorTickMark val="none"/>
        <c:minorTickMark val="none"/>
        <c:tickLblPos val="nextTo"/>
        <c:spPr>
          <a:ln w="0">
            <a:solidFill>
              <a:srgbClr val="B3B3B3"/>
            </a:solidFill>
          </a:ln>
        </c:spPr>
        <c:txPr>
          <a:bodyPr/>
          <a:lstStyle/>
          <a:p>
            <a:pPr>
              <a:defRPr sz="900" b="0" strike="noStrike" spc="-1">
                <a:solidFill>
                  <a:srgbClr val="000000"/>
                </a:solidFill>
                <a:latin typeface="Calibri"/>
              </a:defRPr>
            </a:pPr>
            <a:endParaRPr lang="uk-UA"/>
          </a:p>
        </c:txPr>
        <c:crossAx val="-1079363904"/>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uk-UA"/>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uk-UA"/>
  <c:roundedCorners val="0"/>
  <c:style val="2"/>
  <c:chart>
    <c:title>
      <c:tx>
        <c:rich>
          <a:bodyPr rot="0"/>
          <a:lstStyle/>
          <a:p>
            <a:pPr>
              <a:defRPr lang="en-US" sz="1800" b="1" strike="noStrike" spc="-1">
                <a:solidFill>
                  <a:srgbClr val="000000"/>
                </a:solidFill>
                <a:latin typeface="Calibri"/>
              </a:defRPr>
            </a:pPr>
            <a:r>
              <a:rPr lang="en-US" sz="1800" b="1" strike="noStrike" spc="-1">
                <a:solidFill>
                  <a:srgbClr val="000000"/>
                </a:solidFill>
                <a:latin typeface="Calibri"/>
              </a:rPr>
              <a:t>CREI за групами — композитний індекс ефективності</a:t>
            </a:r>
          </a:p>
        </c:rich>
      </c:tx>
      <c:layout/>
      <c:overlay val="0"/>
      <c:spPr>
        <a:noFill/>
        <a:ln w="0">
          <a:noFill/>
        </a:ln>
      </c:spPr>
    </c:title>
    <c:autoTitleDeleted val="0"/>
    <c:plotArea>
      <c:layout/>
      <c:lineChart>
        <c:grouping val="standard"/>
        <c:varyColors val="0"/>
        <c:ser>
          <c:idx val="0"/>
          <c:order val="0"/>
          <c:tx>
            <c:strRef>
              <c:f>F1_Когортні_індекси!$B$45</c:f>
              <c:strCache>
                <c:ptCount val="1"/>
                <c:pt idx="0">
                  <c:v>L1</c:v>
                </c:pt>
              </c:strCache>
            </c:strRef>
          </c:tx>
          <c:spPr>
            <a:ln w="28440">
              <a:solidFill>
                <a:srgbClr val="C00000"/>
              </a:solidFill>
              <a:round/>
            </a:ln>
          </c:spPr>
          <c:marker>
            <c:symbol val="circle"/>
            <c:size val="7"/>
            <c:spPr>
              <a:solidFill>
                <a:srgbClr val="C0000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F1_Когортні_індекси!$C$28:$G$28</c:f>
              <c:strCache>
                <c:ptCount val="5"/>
                <c:pt idx="0">
                  <c:v>Доба 0</c:v>
                </c:pt>
                <c:pt idx="1">
                  <c:v>Доба 4</c:v>
                </c:pt>
                <c:pt idx="2">
                  <c:v>Доба 8</c:v>
                </c:pt>
                <c:pt idx="3">
                  <c:v>Доба 12</c:v>
                </c:pt>
                <c:pt idx="4">
                  <c:v>Доба 21</c:v>
                </c:pt>
              </c:strCache>
            </c:strRef>
          </c:cat>
          <c:val>
            <c:numRef>
              <c:f>F1_Когортні_індекси!$C$45:$G$45</c:f>
              <c:numCache>
                <c:formatCode>0.000</c:formatCode>
                <c:ptCount val="5"/>
                <c:pt idx="0">
                  <c:v>0</c:v>
                </c:pt>
                <c:pt idx="1">
                  <c:v>7.9566659070836793E-2</c:v>
                </c:pt>
                <c:pt idx="2">
                  <c:v>0.15599291787097855</c:v>
                </c:pt>
                <c:pt idx="3">
                  <c:v>0.23093171410758845</c:v>
                </c:pt>
                <c:pt idx="4">
                  <c:v>0.40850821111105395</c:v>
                </c:pt>
              </c:numCache>
            </c:numRef>
          </c:val>
          <c:smooth val="0"/>
        </c:ser>
        <c:ser>
          <c:idx val="1"/>
          <c:order val="1"/>
          <c:tx>
            <c:strRef>
              <c:f>F1_Когортні_індекси!$B$46</c:f>
              <c:strCache>
                <c:ptCount val="1"/>
                <c:pt idx="0">
                  <c:v>L2</c:v>
                </c:pt>
              </c:strCache>
            </c:strRef>
          </c:tx>
          <c:spPr>
            <a:ln w="28440">
              <a:solidFill>
                <a:srgbClr val="0070C0"/>
              </a:solidFill>
              <a:prstDash val="dash"/>
              <a:round/>
            </a:ln>
          </c:spPr>
          <c:marker>
            <c:symbol val="square"/>
            <c:size val="7"/>
            <c:spPr>
              <a:solidFill>
                <a:srgbClr val="0070C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F1_Когортні_індекси!$C$28:$G$28</c:f>
              <c:strCache>
                <c:ptCount val="5"/>
                <c:pt idx="0">
                  <c:v>Доба 0</c:v>
                </c:pt>
                <c:pt idx="1">
                  <c:v>Доба 4</c:v>
                </c:pt>
                <c:pt idx="2">
                  <c:v>Доба 8</c:v>
                </c:pt>
                <c:pt idx="3">
                  <c:v>Доба 12</c:v>
                </c:pt>
                <c:pt idx="4">
                  <c:v>Доба 21</c:v>
                </c:pt>
              </c:strCache>
            </c:strRef>
          </c:cat>
          <c:val>
            <c:numRef>
              <c:f>F1_Когортні_індекси!$C$46:$G$46</c:f>
              <c:numCache>
                <c:formatCode>0.000</c:formatCode>
                <c:ptCount val="5"/>
                <c:pt idx="0">
                  <c:v>0</c:v>
                </c:pt>
                <c:pt idx="1">
                  <c:v>0.11946904215583086</c:v>
                </c:pt>
                <c:pt idx="2">
                  <c:v>0.25252264174896583</c:v>
                </c:pt>
                <c:pt idx="3">
                  <c:v>0.36738056199058033</c:v>
                </c:pt>
                <c:pt idx="4">
                  <c:v>0.64959477197009263</c:v>
                </c:pt>
              </c:numCache>
            </c:numRef>
          </c:val>
          <c:smooth val="0"/>
        </c:ser>
        <c:ser>
          <c:idx val="2"/>
          <c:order val="2"/>
          <c:tx>
            <c:strRef>
              <c:f>F1_Когортні_індекси!$B$47</c:f>
              <c:strCache>
                <c:ptCount val="1"/>
                <c:pt idx="0">
                  <c:v>L3</c:v>
                </c:pt>
              </c:strCache>
            </c:strRef>
          </c:tx>
          <c:spPr>
            <a:ln w="28440">
              <a:solidFill>
                <a:srgbClr val="00A651"/>
              </a:solidFill>
              <a:prstDash val="sysDot"/>
              <a:round/>
            </a:ln>
          </c:spPr>
          <c:marker>
            <c:symbol val="triangle"/>
            <c:size val="7"/>
            <c:spPr>
              <a:solidFill>
                <a:srgbClr val="00A651"/>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F1_Когортні_індекси!$C$28:$G$28</c:f>
              <c:strCache>
                <c:ptCount val="5"/>
                <c:pt idx="0">
                  <c:v>Доба 0</c:v>
                </c:pt>
                <c:pt idx="1">
                  <c:v>Доба 4</c:v>
                </c:pt>
                <c:pt idx="2">
                  <c:v>Доба 8</c:v>
                </c:pt>
                <c:pt idx="3">
                  <c:v>Доба 12</c:v>
                </c:pt>
                <c:pt idx="4">
                  <c:v>Доба 21</c:v>
                </c:pt>
              </c:strCache>
            </c:strRef>
          </c:cat>
          <c:val>
            <c:numRef>
              <c:f>F1_Когортні_індекси!$C$47:$G$47</c:f>
              <c:numCache>
                <c:formatCode>0.000</c:formatCode>
                <c:ptCount val="5"/>
                <c:pt idx="0">
                  <c:v>0</c:v>
                </c:pt>
                <c:pt idx="1">
                  <c:v>0.13004022839134025</c:v>
                </c:pt>
                <c:pt idx="2">
                  <c:v>0.26326809327392059</c:v>
                </c:pt>
                <c:pt idx="3">
                  <c:v>0.3861331951740577</c:v>
                </c:pt>
                <c:pt idx="4">
                  <c:v>0.68113622586268197</c:v>
                </c:pt>
              </c:numCache>
            </c:numRef>
          </c:val>
          <c:smooth val="0"/>
        </c:ser>
        <c:ser>
          <c:idx val="3"/>
          <c:order val="3"/>
          <c:tx>
            <c:strRef>
              <c:f>F1_Когортні_індекси!$B$48</c:f>
              <c:strCache>
                <c:ptCount val="1"/>
                <c:pt idx="0">
                  <c:v>S</c:v>
                </c:pt>
              </c:strCache>
            </c:strRef>
          </c:tx>
          <c:spPr>
            <a:ln w="28440">
              <a:solidFill>
                <a:srgbClr val="7030A0"/>
              </a:solidFill>
              <a:prstDash val="dashDot"/>
              <a:round/>
            </a:ln>
          </c:spPr>
          <c:marker>
            <c:symbol val="diamond"/>
            <c:size val="7"/>
            <c:spPr>
              <a:solidFill>
                <a:srgbClr val="7030A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F1_Когортні_індекси!$C$28:$G$28</c:f>
              <c:strCache>
                <c:ptCount val="5"/>
                <c:pt idx="0">
                  <c:v>Доба 0</c:v>
                </c:pt>
                <c:pt idx="1">
                  <c:v>Доба 4</c:v>
                </c:pt>
                <c:pt idx="2">
                  <c:v>Доба 8</c:v>
                </c:pt>
                <c:pt idx="3">
                  <c:v>Доба 12</c:v>
                </c:pt>
                <c:pt idx="4">
                  <c:v>Доба 21</c:v>
                </c:pt>
              </c:strCache>
            </c:strRef>
          </c:cat>
          <c:val>
            <c:numRef>
              <c:f>F1_Когортні_індекси!$C$48:$G$48</c:f>
              <c:numCache>
                <c:formatCode>0.000</c:formatCode>
                <c:ptCount val="5"/>
                <c:pt idx="0">
                  <c:v>0</c:v>
                </c:pt>
                <c:pt idx="1">
                  <c:v>5.5522366684334946E-2</c:v>
                </c:pt>
                <c:pt idx="2">
                  <c:v>0.1117515580810706</c:v>
                </c:pt>
                <c:pt idx="3">
                  <c:v>0.16751665860328971</c:v>
                </c:pt>
                <c:pt idx="4">
                  <c:v>0.29060530669480183</c:v>
                </c:pt>
              </c:numCache>
            </c:numRef>
          </c:val>
          <c:smooth val="0"/>
        </c:ser>
        <c:dLbls>
          <c:showLegendKey val="0"/>
          <c:showVal val="0"/>
          <c:showCatName val="0"/>
          <c:showSerName val="0"/>
          <c:showPercent val="0"/>
          <c:showBubbleSize val="0"/>
        </c:dLbls>
        <c:hiLowLines>
          <c:spPr>
            <a:ln w="0">
              <a:noFill/>
            </a:ln>
          </c:spPr>
        </c:hiLowLines>
        <c:marker val="1"/>
        <c:smooth val="0"/>
        <c:axId val="-1079363360"/>
        <c:axId val="-1079362816"/>
      </c:lineChart>
      <c:catAx>
        <c:axId val="-1079363360"/>
        <c:scaling>
          <c:orientation val="minMax"/>
        </c:scaling>
        <c:delete val="0"/>
        <c:axPos val="b"/>
        <c:title>
          <c:tx>
            <c:rich>
              <a:bodyPr rot="0"/>
              <a:lstStyle/>
              <a:p>
                <a:pPr>
                  <a:defRPr lang="uk-UA" sz="1000" b="1" strike="noStrike" spc="-1">
                    <a:solidFill>
                      <a:srgbClr val="000000"/>
                    </a:solidFill>
                    <a:latin typeface="Calibri"/>
                  </a:defRPr>
                </a:pPr>
                <a:r>
                  <a:rPr lang="uk-UA" sz="1000" b="1" strike="noStrike" spc="-1">
                    <a:solidFill>
                      <a:srgbClr val="000000"/>
                    </a:solidFill>
                    <a:latin typeface="Calibri"/>
                  </a:rPr>
                  <a:t>Доба спостереження</a:t>
                </a:r>
              </a:p>
            </c:rich>
          </c:tx>
          <c:layout/>
          <c:overlay val="0"/>
          <c:spPr>
            <a:noFill/>
            <a:ln w="0">
              <a:noFill/>
            </a:ln>
          </c:spPr>
        </c:title>
        <c:numFmt formatCode="General" sourceLinked="0"/>
        <c:majorTickMark val="none"/>
        <c:minorTickMark val="none"/>
        <c:tickLblPos val="nextTo"/>
        <c:spPr>
          <a:ln w="0">
            <a:solidFill>
              <a:srgbClr val="B3B3B3"/>
            </a:solidFill>
          </a:ln>
        </c:spPr>
        <c:txPr>
          <a:bodyPr/>
          <a:lstStyle/>
          <a:p>
            <a:pPr>
              <a:defRPr sz="900" b="0" strike="noStrike" spc="-1">
                <a:solidFill>
                  <a:srgbClr val="000000"/>
                </a:solidFill>
                <a:latin typeface="Calibri"/>
              </a:defRPr>
            </a:pPr>
            <a:endParaRPr lang="uk-UA"/>
          </a:p>
        </c:txPr>
        <c:crossAx val="-1079362816"/>
        <c:crosses val="autoZero"/>
        <c:auto val="1"/>
        <c:lblAlgn val="ctr"/>
        <c:lblOffset val="100"/>
        <c:noMultiLvlLbl val="0"/>
      </c:catAx>
      <c:valAx>
        <c:axId val="-1079362816"/>
        <c:scaling>
          <c:orientation val="minMax"/>
          <c:max val="1"/>
          <c:min val="0"/>
        </c:scaling>
        <c:delete val="0"/>
        <c:axPos val="l"/>
        <c:majorGridlines>
          <c:spPr>
            <a:ln w="0">
              <a:solidFill>
                <a:srgbClr val="B3B3B3"/>
              </a:solidFill>
            </a:ln>
          </c:spPr>
        </c:majorGridlines>
        <c:title>
          <c:tx>
            <c:rich>
              <a:bodyPr rot="-5400000"/>
              <a:lstStyle/>
              <a:p>
                <a:pPr>
                  <a:defRPr lang="uk-UA" sz="1000" b="1" strike="noStrike" spc="-1">
                    <a:solidFill>
                      <a:srgbClr val="000000"/>
                    </a:solidFill>
                    <a:latin typeface="Calibri"/>
                  </a:defRPr>
                </a:pPr>
                <a:r>
                  <a:rPr lang="uk-UA" sz="1000" b="1" strike="noStrike" spc="-1">
                    <a:solidFill>
                      <a:srgbClr val="000000"/>
                    </a:solidFill>
                    <a:latin typeface="Calibri"/>
                  </a:rPr>
                  <a:t>Значення індексу (0–1)</a:t>
                </a:r>
              </a:p>
            </c:rich>
          </c:tx>
          <c:layout/>
          <c:overlay val="0"/>
          <c:spPr>
            <a:noFill/>
            <a:ln w="0">
              <a:noFill/>
            </a:ln>
          </c:spPr>
        </c:title>
        <c:numFmt formatCode="0.000" sourceLinked="0"/>
        <c:majorTickMark val="none"/>
        <c:minorTickMark val="none"/>
        <c:tickLblPos val="nextTo"/>
        <c:spPr>
          <a:ln w="0">
            <a:solidFill>
              <a:srgbClr val="B3B3B3"/>
            </a:solidFill>
          </a:ln>
        </c:spPr>
        <c:txPr>
          <a:bodyPr/>
          <a:lstStyle/>
          <a:p>
            <a:pPr>
              <a:defRPr sz="900" b="0" strike="noStrike" spc="-1">
                <a:solidFill>
                  <a:srgbClr val="000000"/>
                </a:solidFill>
                <a:latin typeface="Calibri"/>
              </a:defRPr>
            </a:pPr>
            <a:endParaRPr lang="uk-UA"/>
          </a:p>
        </c:txPr>
        <c:crossAx val="-1079363360"/>
        <c:crosses val="autoZero"/>
        <c:crossBetween val="between"/>
      </c:valAx>
      <c:spPr>
        <a:noFill/>
        <a:ln w="0">
          <a:noFill/>
        </a:ln>
      </c:spPr>
    </c:plotArea>
    <c:legend>
      <c:legendPos val="b"/>
      <c:layout/>
      <c:overlay val="0"/>
      <c:spPr>
        <a:noFill/>
        <a:ln w="0">
          <a:noFill/>
        </a:ln>
      </c:spPr>
      <c:txPr>
        <a:bodyPr/>
        <a:lstStyle/>
        <a:p>
          <a:pPr>
            <a:defRPr sz="1000" b="0" strike="noStrike" spc="-1">
              <a:solidFill>
                <a:srgbClr val="000000"/>
              </a:solidFill>
              <a:latin typeface="Calibri"/>
            </a:defRPr>
          </a:pPr>
          <a:endParaRPr lang="uk-UA"/>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uk-UA"/>
  <c:roundedCorners val="0"/>
  <c:style val="2"/>
  <c:chart>
    <c:title>
      <c:tx>
        <c:rich>
          <a:bodyPr rot="0"/>
          <a:lstStyle/>
          <a:p>
            <a:pPr>
              <a:defRPr lang="en-US" sz="1800" b="1" strike="noStrike" spc="-1">
                <a:solidFill>
                  <a:srgbClr val="000000"/>
                </a:solidFill>
                <a:latin typeface="Calibri"/>
              </a:defRPr>
            </a:pPr>
            <a:r>
              <a:rPr lang="en-US" sz="1800" b="1" strike="noStrike" spc="-1">
                <a:solidFill>
                  <a:srgbClr val="000000"/>
                </a:solidFill>
                <a:latin typeface="Calibri"/>
              </a:rPr>
              <a:t>CEI за групами — клінічна ефективність</a:t>
            </a:r>
          </a:p>
        </c:rich>
      </c:tx>
      <c:layout/>
      <c:overlay val="0"/>
      <c:spPr>
        <a:noFill/>
        <a:ln w="0">
          <a:noFill/>
        </a:ln>
      </c:spPr>
    </c:title>
    <c:autoTitleDeleted val="0"/>
    <c:plotArea>
      <c:layout/>
      <c:lineChart>
        <c:grouping val="standard"/>
        <c:varyColors val="0"/>
        <c:ser>
          <c:idx val="0"/>
          <c:order val="0"/>
          <c:tx>
            <c:strRef>
              <c:f>F1_Когортні_індекси!$B$29</c:f>
              <c:strCache>
                <c:ptCount val="1"/>
                <c:pt idx="0">
                  <c:v>L1</c:v>
                </c:pt>
              </c:strCache>
            </c:strRef>
          </c:tx>
          <c:spPr>
            <a:ln w="28440">
              <a:solidFill>
                <a:srgbClr val="C00000"/>
              </a:solidFill>
              <a:round/>
            </a:ln>
          </c:spPr>
          <c:marker>
            <c:symbol val="circle"/>
            <c:size val="7"/>
            <c:spPr>
              <a:solidFill>
                <a:srgbClr val="C0000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F1_Когортні_індекси!$C$28:$G$28</c:f>
              <c:strCache>
                <c:ptCount val="5"/>
                <c:pt idx="0">
                  <c:v>Доба 0</c:v>
                </c:pt>
                <c:pt idx="1">
                  <c:v>Доба 4</c:v>
                </c:pt>
                <c:pt idx="2">
                  <c:v>Доба 8</c:v>
                </c:pt>
                <c:pt idx="3">
                  <c:v>Доба 12</c:v>
                </c:pt>
                <c:pt idx="4">
                  <c:v>Доба 21</c:v>
                </c:pt>
              </c:strCache>
            </c:strRef>
          </c:cat>
          <c:val>
            <c:numRef>
              <c:f>F1_Когортні_індекси!$C$29:$G$29</c:f>
              <c:numCache>
                <c:formatCode>0.000</c:formatCode>
                <c:ptCount val="5"/>
                <c:pt idx="0">
                  <c:v>0</c:v>
                </c:pt>
                <c:pt idx="1">
                  <c:v>8.277659311579659E-2</c:v>
                </c:pt>
                <c:pt idx="2">
                  <c:v>0.16598507248954333</c:v>
                </c:pt>
                <c:pt idx="3">
                  <c:v>0.2368985393648218</c:v>
                </c:pt>
                <c:pt idx="4">
                  <c:v>0.4219542028410283</c:v>
                </c:pt>
              </c:numCache>
            </c:numRef>
          </c:val>
          <c:smooth val="0"/>
        </c:ser>
        <c:ser>
          <c:idx val="1"/>
          <c:order val="1"/>
          <c:tx>
            <c:strRef>
              <c:f>F1_Когортні_індекси!$B$30</c:f>
              <c:strCache>
                <c:ptCount val="1"/>
                <c:pt idx="0">
                  <c:v>L2</c:v>
                </c:pt>
              </c:strCache>
            </c:strRef>
          </c:tx>
          <c:spPr>
            <a:ln w="28440">
              <a:solidFill>
                <a:srgbClr val="0070C0"/>
              </a:solidFill>
              <a:prstDash val="dash"/>
              <a:round/>
            </a:ln>
          </c:spPr>
          <c:marker>
            <c:symbol val="square"/>
            <c:size val="7"/>
            <c:spPr>
              <a:solidFill>
                <a:srgbClr val="0070C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F1_Когортні_індекси!$C$28:$G$28</c:f>
              <c:strCache>
                <c:ptCount val="5"/>
                <c:pt idx="0">
                  <c:v>Доба 0</c:v>
                </c:pt>
                <c:pt idx="1">
                  <c:v>Доба 4</c:v>
                </c:pt>
                <c:pt idx="2">
                  <c:v>Доба 8</c:v>
                </c:pt>
                <c:pt idx="3">
                  <c:v>Доба 12</c:v>
                </c:pt>
                <c:pt idx="4">
                  <c:v>Доба 21</c:v>
                </c:pt>
              </c:strCache>
            </c:strRef>
          </c:cat>
          <c:val>
            <c:numRef>
              <c:f>F1_Когортні_індекси!$C$30:$G$30</c:f>
              <c:numCache>
                <c:formatCode>0.000</c:formatCode>
                <c:ptCount val="5"/>
                <c:pt idx="0">
                  <c:v>0</c:v>
                </c:pt>
                <c:pt idx="1">
                  <c:v>0.1233960929761055</c:v>
                </c:pt>
                <c:pt idx="2">
                  <c:v>0.26107560836539845</c:v>
                </c:pt>
                <c:pt idx="3">
                  <c:v>0.38150557558524945</c:v>
                </c:pt>
                <c:pt idx="4">
                  <c:v>0.66632841936681353</c:v>
                </c:pt>
              </c:numCache>
            </c:numRef>
          </c:val>
          <c:smooth val="0"/>
        </c:ser>
        <c:ser>
          <c:idx val="2"/>
          <c:order val="2"/>
          <c:tx>
            <c:strRef>
              <c:f>F1_Когортні_індекси!$B$31</c:f>
              <c:strCache>
                <c:ptCount val="1"/>
                <c:pt idx="0">
                  <c:v>L3</c:v>
                </c:pt>
              </c:strCache>
            </c:strRef>
          </c:tx>
          <c:spPr>
            <a:ln w="28440">
              <a:solidFill>
                <a:srgbClr val="00A651"/>
              </a:solidFill>
              <a:prstDash val="sysDot"/>
              <a:round/>
            </a:ln>
          </c:spPr>
          <c:marker>
            <c:symbol val="triangle"/>
            <c:size val="7"/>
            <c:spPr>
              <a:solidFill>
                <a:srgbClr val="00A651"/>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F1_Когортні_індекси!$C$28:$G$28</c:f>
              <c:strCache>
                <c:ptCount val="5"/>
                <c:pt idx="0">
                  <c:v>Доба 0</c:v>
                </c:pt>
                <c:pt idx="1">
                  <c:v>Доба 4</c:v>
                </c:pt>
                <c:pt idx="2">
                  <c:v>Доба 8</c:v>
                </c:pt>
                <c:pt idx="3">
                  <c:v>Доба 12</c:v>
                </c:pt>
                <c:pt idx="4">
                  <c:v>Доба 21</c:v>
                </c:pt>
              </c:strCache>
            </c:strRef>
          </c:cat>
          <c:val>
            <c:numRef>
              <c:f>F1_Когортні_індекси!$C$31:$G$31</c:f>
              <c:numCache>
                <c:formatCode>0.000</c:formatCode>
                <c:ptCount val="5"/>
                <c:pt idx="0">
                  <c:v>0</c:v>
                </c:pt>
                <c:pt idx="1">
                  <c:v>0.1309719236631911</c:v>
                </c:pt>
                <c:pt idx="2">
                  <c:v>0.26453378434151203</c:v>
                </c:pt>
                <c:pt idx="3">
                  <c:v>0.38742824959305999</c:v>
                </c:pt>
                <c:pt idx="4">
                  <c:v>0.68493144729513944</c:v>
                </c:pt>
              </c:numCache>
            </c:numRef>
          </c:val>
          <c:smooth val="0"/>
        </c:ser>
        <c:ser>
          <c:idx val="3"/>
          <c:order val="3"/>
          <c:tx>
            <c:strRef>
              <c:f>F1_Когортні_індекси!$B$32</c:f>
              <c:strCache>
                <c:ptCount val="1"/>
                <c:pt idx="0">
                  <c:v>S</c:v>
                </c:pt>
              </c:strCache>
            </c:strRef>
          </c:tx>
          <c:spPr>
            <a:ln w="28440">
              <a:solidFill>
                <a:srgbClr val="7030A0"/>
              </a:solidFill>
              <a:prstDash val="dashDot"/>
              <a:round/>
            </a:ln>
          </c:spPr>
          <c:marker>
            <c:symbol val="diamond"/>
            <c:size val="7"/>
            <c:spPr>
              <a:solidFill>
                <a:srgbClr val="7030A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F1_Когортні_індекси!$C$28:$G$28</c:f>
              <c:strCache>
                <c:ptCount val="5"/>
                <c:pt idx="0">
                  <c:v>Доба 0</c:v>
                </c:pt>
                <c:pt idx="1">
                  <c:v>Доба 4</c:v>
                </c:pt>
                <c:pt idx="2">
                  <c:v>Доба 8</c:v>
                </c:pt>
                <c:pt idx="3">
                  <c:v>Доба 12</c:v>
                </c:pt>
                <c:pt idx="4">
                  <c:v>Доба 21</c:v>
                </c:pt>
              </c:strCache>
            </c:strRef>
          </c:cat>
          <c:val>
            <c:numRef>
              <c:f>F1_Когортні_індекси!$C$32:$G$32</c:f>
              <c:numCache>
                <c:formatCode>0.000</c:formatCode>
                <c:ptCount val="5"/>
                <c:pt idx="0">
                  <c:v>0</c:v>
                </c:pt>
                <c:pt idx="1">
                  <c:v>6.1959578377432281E-2</c:v>
                </c:pt>
                <c:pt idx="2">
                  <c:v>0.12246634930162892</c:v>
                </c:pt>
                <c:pt idx="3">
                  <c:v>0.17792470321768189</c:v>
                </c:pt>
                <c:pt idx="4">
                  <c:v>0.31019512417835488</c:v>
                </c:pt>
              </c:numCache>
            </c:numRef>
          </c:val>
          <c:smooth val="0"/>
        </c:ser>
        <c:dLbls>
          <c:showLegendKey val="0"/>
          <c:showVal val="0"/>
          <c:showCatName val="0"/>
          <c:showSerName val="0"/>
          <c:showPercent val="0"/>
          <c:showBubbleSize val="0"/>
        </c:dLbls>
        <c:hiLowLines>
          <c:spPr>
            <a:ln w="0">
              <a:noFill/>
            </a:ln>
          </c:spPr>
        </c:hiLowLines>
        <c:marker val="1"/>
        <c:smooth val="0"/>
        <c:axId val="-1079364448"/>
        <c:axId val="-1079361728"/>
      </c:lineChart>
      <c:catAx>
        <c:axId val="-1079364448"/>
        <c:scaling>
          <c:orientation val="minMax"/>
        </c:scaling>
        <c:delete val="0"/>
        <c:axPos val="b"/>
        <c:title>
          <c:tx>
            <c:rich>
              <a:bodyPr rot="0"/>
              <a:lstStyle/>
              <a:p>
                <a:pPr>
                  <a:defRPr lang="uk-UA" sz="1000" b="1" strike="noStrike" spc="-1">
                    <a:solidFill>
                      <a:srgbClr val="000000"/>
                    </a:solidFill>
                    <a:latin typeface="Calibri"/>
                  </a:defRPr>
                </a:pPr>
                <a:r>
                  <a:rPr lang="uk-UA" sz="1000" b="1" strike="noStrike" spc="-1">
                    <a:solidFill>
                      <a:srgbClr val="000000"/>
                    </a:solidFill>
                    <a:latin typeface="Calibri"/>
                  </a:rPr>
                  <a:t>Доба спостереження</a:t>
                </a:r>
              </a:p>
            </c:rich>
          </c:tx>
          <c:layout/>
          <c:overlay val="0"/>
          <c:spPr>
            <a:noFill/>
            <a:ln w="0">
              <a:noFill/>
            </a:ln>
          </c:spPr>
        </c:title>
        <c:numFmt formatCode="General" sourceLinked="0"/>
        <c:majorTickMark val="none"/>
        <c:minorTickMark val="none"/>
        <c:tickLblPos val="nextTo"/>
        <c:spPr>
          <a:ln w="0">
            <a:solidFill>
              <a:srgbClr val="B3B3B3"/>
            </a:solidFill>
          </a:ln>
        </c:spPr>
        <c:txPr>
          <a:bodyPr/>
          <a:lstStyle/>
          <a:p>
            <a:pPr>
              <a:defRPr sz="900" b="0" strike="noStrike" spc="-1">
                <a:solidFill>
                  <a:srgbClr val="000000"/>
                </a:solidFill>
                <a:latin typeface="Calibri"/>
              </a:defRPr>
            </a:pPr>
            <a:endParaRPr lang="uk-UA"/>
          </a:p>
        </c:txPr>
        <c:crossAx val="-1079361728"/>
        <c:crosses val="autoZero"/>
        <c:auto val="1"/>
        <c:lblAlgn val="ctr"/>
        <c:lblOffset val="100"/>
        <c:noMultiLvlLbl val="0"/>
      </c:catAx>
      <c:valAx>
        <c:axId val="-1079361728"/>
        <c:scaling>
          <c:orientation val="minMax"/>
          <c:max val="1"/>
          <c:min val="0"/>
        </c:scaling>
        <c:delete val="0"/>
        <c:axPos val="l"/>
        <c:majorGridlines>
          <c:spPr>
            <a:ln w="0">
              <a:solidFill>
                <a:srgbClr val="B3B3B3"/>
              </a:solidFill>
            </a:ln>
          </c:spPr>
        </c:majorGridlines>
        <c:title>
          <c:tx>
            <c:rich>
              <a:bodyPr rot="-5400000"/>
              <a:lstStyle/>
              <a:p>
                <a:pPr>
                  <a:defRPr lang="uk-UA" sz="1000" b="1" strike="noStrike" spc="-1">
                    <a:solidFill>
                      <a:srgbClr val="000000"/>
                    </a:solidFill>
                    <a:latin typeface="Calibri"/>
                  </a:defRPr>
                </a:pPr>
                <a:r>
                  <a:rPr lang="uk-UA" sz="1000" b="1" strike="noStrike" spc="-1">
                    <a:solidFill>
                      <a:srgbClr val="000000"/>
                    </a:solidFill>
                    <a:latin typeface="Calibri"/>
                  </a:rPr>
                  <a:t>Значення індексу (0–1)</a:t>
                </a:r>
              </a:p>
            </c:rich>
          </c:tx>
          <c:layout/>
          <c:overlay val="0"/>
          <c:spPr>
            <a:noFill/>
            <a:ln w="0">
              <a:noFill/>
            </a:ln>
          </c:spPr>
        </c:title>
        <c:numFmt formatCode="0.000" sourceLinked="0"/>
        <c:majorTickMark val="none"/>
        <c:minorTickMark val="none"/>
        <c:tickLblPos val="nextTo"/>
        <c:spPr>
          <a:ln w="0">
            <a:solidFill>
              <a:srgbClr val="B3B3B3"/>
            </a:solidFill>
          </a:ln>
        </c:spPr>
        <c:txPr>
          <a:bodyPr/>
          <a:lstStyle/>
          <a:p>
            <a:pPr>
              <a:defRPr sz="900" b="0" strike="noStrike" spc="-1">
                <a:solidFill>
                  <a:srgbClr val="000000"/>
                </a:solidFill>
                <a:latin typeface="Calibri"/>
              </a:defRPr>
            </a:pPr>
            <a:endParaRPr lang="uk-UA"/>
          </a:p>
        </c:txPr>
        <c:crossAx val="-1079364448"/>
        <c:crosses val="autoZero"/>
        <c:crossBetween val="between"/>
      </c:valAx>
      <c:spPr>
        <a:noFill/>
        <a:ln w="0">
          <a:noFill/>
        </a:ln>
      </c:spPr>
    </c:plotArea>
    <c:legend>
      <c:legendPos val="b"/>
      <c:layout/>
      <c:overlay val="0"/>
      <c:spPr>
        <a:noFill/>
        <a:ln w="0">
          <a:noFill/>
        </a:ln>
      </c:spPr>
      <c:txPr>
        <a:bodyPr/>
        <a:lstStyle/>
        <a:p>
          <a:pPr>
            <a:defRPr sz="1000" b="0" strike="noStrike" spc="-1">
              <a:solidFill>
                <a:srgbClr val="000000"/>
              </a:solidFill>
              <a:latin typeface="Calibri"/>
            </a:defRPr>
          </a:pPr>
          <a:endParaRPr lang="uk-UA"/>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uk-UA"/>
  <c:roundedCorners val="0"/>
  <c:style val="2"/>
  <c:chart>
    <c:title>
      <c:tx>
        <c:rich>
          <a:bodyPr rot="0"/>
          <a:lstStyle/>
          <a:p>
            <a:pPr>
              <a:defRPr lang="en-US" sz="1800" b="1" strike="noStrike" spc="-1">
                <a:solidFill>
                  <a:srgbClr val="000000"/>
                </a:solidFill>
                <a:latin typeface="Calibri"/>
              </a:defRPr>
            </a:pPr>
            <a:r>
              <a:rPr lang="en-US" sz="1800" b="1" strike="noStrike" spc="-1">
                <a:solidFill>
                  <a:srgbClr val="000000"/>
                </a:solidFill>
                <a:latin typeface="Calibri"/>
              </a:rPr>
              <a:t>MI за групами — механістичний індекс</a:t>
            </a:r>
          </a:p>
        </c:rich>
      </c:tx>
      <c:layout/>
      <c:overlay val="0"/>
      <c:spPr>
        <a:noFill/>
        <a:ln w="0">
          <a:noFill/>
        </a:ln>
      </c:spPr>
    </c:title>
    <c:autoTitleDeleted val="0"/>
    <c:plotArea>
      <c:layout/>
      <c:lineChart>
        <c:grouping val="standard"/>
        <c:varyColors val="0"/>
        <c:ser>
          <c:idx val="0"/>
          <c:order val="0"/>
          <c:tx>
            <c:strRef>
              <c:f>F1_Когортні_індекси!$B$33</c:f>
              <c:strCache>
                <c:ptCount val="1"/>
                <c:pt idx="0">
                  <c:v>L1</c:v>
                </c:pt>
              </c:strCache>
            </c:strRef>
          </c:tx>
          <c:spPr>
            <a:ln w="28440">
              <a:solidFill>
                <a:srgbClr val="C00000"/>
              </a:solidFill>
              <a:round/>
            </a:ln>
          </c:spPr>
          <c:marker>
            <c:symbol val="circle"/>
            <c:size val="7"/>
            <c:spPr>
              <a:solidFill>
                <a:srgbClr val="C0000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F1_Когортні_індекси!$C$28:$G$28</c:f>
              <c:strCache>
                <c:ptCount val="5"/>
                <c:pt idx="0">
                  <c:v>Доба 0</c:v>
                </c:pt>
                <c:pt idx="1">
                  <c:v>Доба 4</c:v>
                </c:pt>
                <c:pt idx="2">
                  <c:v>Доба 8</c:v>
                </c:pt>
                <c:pt idx="3">
                  <c:v>Доба 12</c:v>
                </c:pt>
                <c:pt idx="4">
                  <c:v>Доба 21</c:v>
                </c:pt>
              </c:strCache>
            </c:strRef>
          </c:cat>
          <c:val>
            <c:numRef>
              <c:f>F1_Когортні_індекси!$C$33:$G$33</c:f>
              <c:numCache>
                <c:formatCode>0.000</c:formatCode>
                <c:ptCount val="5"/>
                <c:pt idx="0">
                  <c:v>0</c:v>
                </c:pt>
                <c:pt idx="1">
                  <c:v>7.6007175884574632E-2</c:v>
                </c:pt>
                <c:pt idx="2">
                  <c:v>0.14061786245908037</c:v>
                </c:pt>
                <c:pt idx="3">
                  <c:v>0.21746566910254372</c:v>
                </c:pt>
                <c:pt idx="4">
                  <c:v>0.38232620940385387</c:v>
                </c:pt>
              </c:numCache>
            </c:numRef>
          </c:val>
          <c:smooth val="0"/>
        </c:ser>
        <c:ser>
          <c:idx val="1"/>
          <c:order val="1"/>
          <c:tx>
            <c:strRef>
              <c:f>F1_Когортні_індекси!$B$34</c:f>
              <c:strCache>
                <c:ptCount val="1"/>
                <c:pt idx="0">
                  <c:v>L2</c:v>
                </c:pt>
              </c:strCache>
            </c:strRef>
          </c:tx>
          <c:spPr>
            <a:ln w="28440">
              <a:solidFill>
                <a:srgbClr val="0070C0"/>
              </a:solidFill>
              <a:prstDash val="dash"/>
              <a:round/>
            </a:ln>
          </c:spPr>
          <c:marker>
            <c:symbol val="square"/>
            <c:size val="7"/>
            <c:spPr>
              <a:solidFill>
                <a:srgbClr val="0070C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F1_Когортні_індекси!$C$28:$G$28</c:f>
              <c:strCache>
                <c:ptCount val="5"/>
                <c:pt idx="0">
                  <c:v>Доба 0</c:v>
                </c:pt>
                <c:pt idx="1">
                  <c:v>Доба 4</c:v>
                </c:pt>
                <c:pt idx="2">
                  <c:v>Доба 8</c:v>
                </c:pt>
                <c:pt idx="3">
                  <c:v>Доба 12</c:v>
                </c:pt>
                <c:pt idx="4">
                  <c:v>Доба 21</c:v>
                </c:pt>
              </c:strCache>
            </c:strRef>
          </c:cat>
          <c:val>
            <c:numRef>
              <c:f>F1_Когортні_індекси!$C$34:$G$34</c:f>
              <c:numCache>
                <c:formatCode>0.000</c:formatCode>
                <c:ptCount val="5"/>
                <c:pt idx="0">
                  <c:v>0</c:v>
                </c:pt>
                <c:pt idx="1">
                  <c:v>0.11425691253463387</c:v>
                </c:pt>
                <c:pt idx="2">
                  <c:v>0.23878802559735612</c:v>
                </c:pt>
                <c:pt idx="3">
                  <c:v>0.350177337372714</c:v>
                </c:pt>
                <c:pt idx="4">
                  <c:v>0.62636052132399356</c:v>
                </c:pt>
              </c:numCache>
            </c:numRef>
          </c:val>
          <c:smooth val="0"/>
        </c:ser>
        <c:ser>
          <c:idx val="2"/>
          <c:order val="2"/>
          <c:tx>
            <c:strRef>
              <c:f>F1_Когортні_індекси!$B$35</c:f>
              <c:strCache>
                <c:ptCount val="1"/>
                <c:pt idx="0">
                  <c:v>L3</c:v>
                </c:pt>
              </c:strCache>
            </c:strRef>
          </c:tx>
          <c:spPr>
            <a:ln w="28440">
              <a:solidFill>
                <a:srgbClr val="00A651"/>
              </a:solidFill>
              <a:prstDash val="sysDot"/>
              <a:round/>
            </a:ln>
          </c:spPr>
          <c:marker>
            <c:symbol val="triangle"/>
            <c:size val="7"/>
            <c:spPr>
              <a:solidFill>
                <a:srgbClr val="00A651"/>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F1_Когортні_індекси!$C$28:$G$28</c:f>
              <c:strCache>
                <c:ptCount val="5"/>
                <c:pt idx="0">
                  <c:v>Доба 0</c:v>
                </c:pt>
                <c:pt idx="1">
                  <c:v>Доба 4</c:v>
                </c:pt>
                <c:pt idx="2">
                  <c:v>Доба 8</c:v>
                </c:pt>
                <c:pt idx="3">
                  <c:v>Доба 12</c:v>
                </c:pt>
                <c:pt idx="4">
                  <c:v>Доба 21</c:v>
                </c:pt>
              </c:strCache>
            </c:strRef>
          </c:cat>
          <c:val>
            <c:numRef>
              <c:f>F1_Когортні_індекси!$C$35:$G$35</c:f>
              <c:numCache>
                <c:formatCode>0.000</c:formatCode>
                <c:ptCount val="5"/>
                <c:pt idx="0">
                  <c:v>0</c:v>
                </c:pt>
                <c:pt idx="1">
                  <c:v>0.12923149508996915</c:v>
                </c:pt>
                <c:pt idx="2">
                  <c:v>0.25660740944078592</c:v>
                </c:pt>
                <c:pt idx="3">
                  <c:v>0.38321982031431939</c:v>
                </c:pt>
                <c:pt idx="4">
                  <c:v>0.67210344104511421</c:v>
                </c:pt>
              </c:numCache>
            </c:numRef>
          </c:val>
          <c:smooth val="0"/>
        </c:ser>
        <c:ser>
          <c:idx val="3"/>
          <c:order val="3"/>
          <c:tx>
            <c:strRef>
              <c:f>F1_Когортні_індекси!$B$36</c:f>
              <c:strCache>
                <c:ptCount val="1"/>
                <c:pt idx="0">
                  <c:v>S</c:v>
                </c:pt>
              </c:strCache>
            </c:strRef>
          </c:tx>
          <c:spPr>
            <a:ln w="28440">
              <a:solidFill>
                <a:srgbClr val="7030A0"/>
              </a:solidFill>
              <a:prstDash val="dashDot"/>
              <a:round/>
            </a:ln>
          </c:spPr>
          <c:marker>
            <c:symbol val="diamond"/>
            <c:size val="7"/>
            <c:spPr>
              <a:solidFill>
                <a:srgbClr val="7030A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F1_Когортні_індекси!$C$28:$G$28</c:f>
              <c:strCache>
                <c:ptCount val="5"/>
                <c:pt idx="0">
                  <c:v>Доба 0</c:v>
                </c:pt>
                <c:pt idx="1">
                  <c:v>Доба 4</c:v>
                </c:pt>
                <c:pt idx="2">
                  <c:v>Доба 8</c:v>
                </c:pt>
                <c:pt idx="3">
                  <c:v>Доба 12</c:v>
                </c:pt>
                <c:pt idx="4">
                  <c:v>Доба 21</c:v>
                </c:pt>
              </c:strCache>
            </c:strRef>
          </c:cat>
          <c:val>
            <c:numRef>
              <c:f>F1_Когортні_індекси!$C$36:$G$36</c:f>
              <c:numCache>
                <c:formatCode>0.000</c:formatCode>
                <c:ptCount val="5"/>
                <c:pt idx="0">
                  <c:v>0</c:v>
                </c:pt>
                <c:pt idx="1">
                  <c:v>4.9258230453999269E-2</c:v>
                </c:pt>
                <c:pt idx="2">
                  <c:v>9.4263449206834507E-2</c:v>
                </c:pt>
                <c:pt idx="3">
                  <c:v>0.1537068768169057</c:v>
                </c:pt>
                <c:pt idx="4">
                  <c:v>0.26449361507355545</c:v>
                </c:pt>
              </c:numCache>
            </c:numRef>
          </c:val>
          <c:smooth val="0"/>
        </c:ser>
        <c:dLbls>
          <c:showLegendKey val="0"/>
          <c:showVal val="0"/>
          <c:showCatName val="0"/>
          <c:showSerName val="0"/>
          <c:showPercent val="0"/>
          <c:showBubbleSize val="0"/>
        </c:dLbls>
        <c:hiLowLines>
          <c:spPr>
            <a:ln w="0">
              <a:noFill/>
            </a:ln>
          </c:spPr>
        </c:hiLowLines>
        <c:marker val="1"/>
        <c:smooth val="0"/>
        <c:axId val="-1079359552"/>
        <c:axId val="-1079360640"/>
      </c:lineChart>
      <c:catAx>
        <c:axId val="-1079359552"/>
        <c:scaling>
          <c:orientation val="minMax"/>
        </c:scaling>
        <c:delete val="0"/>
        <c:axPos val="b"/>
        <c:title>
          <c:tx>
            <c:rich>
              <a:bodyPr rot="0"/>
              <a:lstStyle/>
              <a:p>
                <a:pPr>
                  <a:defRPr lang="uk-UA" sz="1000" b="1" strike="noStrike" spc="-1">
                    <a:solidFill>
                      <a:srgbClr val="000000"/>
                    </a:solidFill>
                    <a:latin typeface="Calibri"/>
                  </a:defRPr>
                </a:pPr>
                <a:r>
                  <a:rPr lang="uk-UA" sz="1000" b="1" strike="noStrike" spc="-1">
                    <a:solidFill>
                      <a:srgbClr val="000000"/>
                    </a:solidFill>
                    <a:latin typeface="Calibri"/>
                  </a:rPr>
                  <a:t>Доба спостереження</a:t>
                </a:r>
              </a:p>
            </c:rich>
          </c:tx>
          <c:layout/>
          <c:overlay val="0"/>
          <c:spPr>
            <a:noFill/>
            <a:ln w="0">
              <a:noFill/>
            </a:ln>
          </c:spPr>
        </c:title>
        <c:numFmt formatCode="General" sourceLinked="0"/>
        <c:majorTickMark val="none"/>
        <c:minorTickMark val="none"/>
        <c:tickLblPos val="nextTo"/>
        <c:spPr>
          <a:ln w="0">
            <a:solidFill>
              <a:srgbClr val="B3B3B3"/>
            </a:solidFill>
          </a:ln>
        </c:spPr>
        <c:txPr>
          <a:bodyPr/>
          <a:lstStyle/>
          <a:p>
            <a:pPr>
              <a:defRPr sz="900" b="0" strike="noStrike" spc="-1">
                <a:solidFill>
                  <a:srgbClr val="000000"/>
                </a:solidFill>
                <a:latin typeface="Calibri"/>
              </a:defRPr>
            </a:pPr>
            <a:endParaRPr lang="uk-UA"/>
          </a:p>
        </c:txPr>
        <c:crossAx val="-1079360640"/>
        <c:crosses val="autoZero"/>
        <c:auto val="1"/>
        <c:lblAlgn val="ctr"/>
        <c:lblOffset val="100"/>
        <c:noMultiLvlLbl val="0"/>
      </c:catAx>
      <c:valAx>
        <c:axId val="-1079360640"/>
        <c:scaling>
          <c:orientation val="minMax"/>
          <c:max val="1"/>
          <c:min val="0"/>
        </c:scaling>
        <c:delete val="0"/>
        <c:axPos val="l"/>
        <c:majorGridlines>
          <c:spPr>
            <a:ln w="0">
              <a:solidFill>
                <a:srgbClr val="B3B3B3"/>
              </a:solidFill>
            </a:ln>
          </c:spPr>
        </c:majorGridlines>
        <c:title>
          <c:tx>
            <c:rich>
              <a:bodyPr rot="-5400000"/>
              <a:lstStyle/>
              <a:p>
                <a:pPr>
                  <a:defRPr lang="uk-UA" sz="1000" b="1" strike="noStrike" spc="-1">
                    <a:solidFill>
                      <a:srgbClr val="000000"/>
                    </a:solidFill>
                    <a:latin typeface="Calibri"/>
                  </a:defRPr>
                </a:pPr>
                <a:r>
                  <a:rPr lang="uk-UA" sz="1000" b="1" strike="noStrike" spc="-1">
                    <a:solidFill>
                      <a:srgbClr val="000000"/>
                    </a:solidFill>
                    <a:latin typeface="Calibri"/>
                  </a:rPr>
                  <a:t>Значення індексу (0–1)</a:t>
                </a:r>
              </a:p>
            </c:rich>
          </c:tx>
          <c:layout/>
          <c:overlay val="0"/>
          <c:spPr>
            <a:noFill/>
            <a:ln w="0">
              <a:noFill/>
            </a:ln>
          </c:spPr>
        </c:title>
        <c:numFmt formatCode="0.000" sourceLinked="0"/>
        <c:majorTickMark val="none"/>
        <c:minorTickMark val="none"/>
        <c:tickLblPos val="nextTo"/>
        <c:spPr>
          <a:ln w="0">
            <a:solidFill>
              <a:srgbClr val="B3B3B3"/>
            </a:solidFill>
          </a:ln>
        </c:spPr>
        <c:txPr>
          <a:bodyPr/>
          <a:lstStyle/>
          <a:p>
            <a:pPr>
              <a:defRPr sz="900" b="0" strike="noStrike" spc="-1">
                <a:solidFill>
                  <a:srgbClr val="000000"/>
                </a:solidFill>
                <a:latin typeface="Calibri"/>
              </a:defRPr>
            </a:pPr>
            <a:endParaRPr lang="uk-UA"/>
          </a:p>
        </c:txPr>
        <c:crossAx val="-1079359552"/>
        <c:crosses val="autoZero"/>
        <c:crossBetween val="between"/>
      </c:valAx>
      <c:spPr>
        <a:noFill/>
        <a:ln w="0">
          <a:noFill/>
        </a:ln>
      </c:spPr>
    </c:plotArea>
    <c:legend>
      <c:legendPos val="b"/>
      <c:layout/>
      <c:overlay val="0"/>
      <c:spPr>
        <a:noFill/>
        <a:ln w="0">
          <a:noFill/>
        </a:ln>
      </c:spPr>
      <c:txPr>
        <a:bodyPr/>
        <a:lstStyle/>
        <a:p>
          <a:pPr>
            <a:defRPr sz="1000" b="0" strike="noStrike" spc="-1">
              <a:solidFill>
                <a:srgbClr val="000000"/>
              </a:solidFill>
              <a:latin typeface="Calibri"/>
            </a:defRPr>
          </a:pPr>
          <a:endParaRPr lang="uk-UA"/>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uk-UA"/>
  <c:roundedCorners val="0"/>
  <c:style val="2"/>
  <c:chart>
    <c:title>
      <c:tx>
        <c:rich>
          <a:bodyPr rot="0"/>
          <a:lstStyle/>
          <a:p>
            <a:pPr>
              <a:defRPr lang="en-US" sz="1800" b="1" strike="noStrike" spc="-1">
                <a:solidFill>
                  <a:srgbClr val="000000"/>
                </a:solidFill>
                <a:latin typeface="Calibri"/>
              </a:defRPr>
            </a:pPr>
            <a:r>
              <a:rPr lang="en-US" sz="1800" b="1" strike="noStrike" spc="-1">
                <a:solidFill>
                  <a:srgbClr val="000000"/>
                </a:solidFill>
                <a:latin typeface="Calibri"/>
              </a:rPr>
              <a:t>FRI за групами — функціональне відновлення</a:t>
            </a:r>
          </a:p>
        </c:rich>
      </c:tx>
      <c:layout/>
      <c:overlay val="0"/>
      <c:spPr>
        <a:noFill/>
        <a:ln w="0">
          <a:noFill/>
        </a:ln>
      </c:spPr>
    </c:title>
    <c:autoTitleDeleted val="0"/>
    <c:plotArea>
      <c:layout/>
      <c:lineChart>
        <c:grouping val="standard"/>
        <c:varyColors val="0"/>
        <c:ser>
          <c:idx val="0"/>
          <c:order val="0"/>
          <c:tx>
            <c:strRef>
              <c:f>F1_Когортні_індекси!$B$37</c:f>
              <c:strCache>
                <c:ptCount val="1"/>
                <c:pt idx="0">
                  <c:v>L1</c:v>
                </c:pt>
              </c:strCache>
            </c:strRef>
          </c:tx>
          <c:spPr>
            <a:ln w="28440">
              <a:solidFill>
                <a:srgbClr val="C00000"/>
              </a:solidFill>
              <a:round/>
            </a:ln>
          </c:spPr>
          <c:marker>
            <c:symbol val="circle"/>
            <c:size val="7"/>
            <c:spPr>
              <a:solidFill>
                <a:srgbClr val="C0000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F1_Когортні_індекси!$C$28:$G$28</c:f>
              <c:strCache>
                <c:ptCount val="5"/>
                <c:pt idx="0">
                  <c:v>Доба 0</c:v>
                </c:pt>
                <c:pt idx="1">
                  <c:v>Доба 4</c:v>
                </c:pt>
                <c:pt idx="2">
                  <c:v>Доба 8</c:v>
                </c:pt>
                <c:pt idx="3">
                  <c:v>Доба 12</c:v>
                </c:pt>
                <c:pt idx="4">
                  <c:v>Доба 21</c:v>
                </c:pt>
              </c:strCache>
            </c:strRef>
          </c:cat>
          <c:val>
            <c:numRef>
              <c:f>F1_Когортні_індекси!$C$37:$G$37</c:f>
              <c:numCache>
                <c:formatCode>0.000</c:formatCode>
                <c:ptCount val="5"/>
                <c:pt idx="0">
                  <c:v>0</c:v>
                </c:pt>
                <c:pt idx="1">
                  <c:v>7.7093048410250276E-2</c:v>
                </c:pt>
                <c:pt idx="2">
                  <c:v>0.14908999684365862</c:v>
                </c:pt>
                <c:pt idx="3">
                  <c:v>0.22953320666246968</c:v>
                </c:pt>
                <c:pt idx="4">
                  <c:v>0.39953208559102427</c:v>
                </c:pt>
              </c:numCache>
            </c:numRef>
          </c:val>
          <c:smooth val="0"/>
        </c:ser>
        <c:ser>
          <c:idx val="1"/>
          <c:order val="1"/>
          <c:tx>
            <c:strRef>
              <c:f>F1_Когортні_індекси!$B$38</c:f>
              <c:strCache>
                <c:ptCount val="1"/>
                <c:pt idx="0">
                  <c:v>L2</c:v>
                </c:pt>
              </c:strCache>
            </c:strRef>
          </c:tx>
          <c:spPr>
            <a:ln w="28440">
              <a:solidFill>
                <a:srgbClr val="0070C0"/>
              </a:solidFill>
              <a:prstDash val="dash"/>
              <a:round/>
            </a:ln>
          </c:spPr>
          <c:marker>
            <c:symbol val="square"/>
            <c:size val="7"/>
            <c:spPr>
              <a:solidFill>
                <a:srgbClr val="0070C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F1_Когортні_індекси!$C$28:$G$28</c:f>
              <c:strCache>
                <c:ptCount val="5"/>
                <c:pt idx="0">
                  <c:v>Доба 0</c:v>
                </c:pt>
                <c:pt idx="1">
                  <c:v>Доба 4</c:v>
                </c:pt>
                <c:pt idx="2">
                  <c:v>Доба 8</c:v>
                </c:pt>
                <c:pt idx="3">
                  <c:v>Доба 12</c:v>
                </c:pt>
                <c:pt idx="4">
                  <c:v>Доба 21</c:v>
                </c:pt>
              </c:strCache>
            </c:strRef>
          </c:cat>
          <c:val>
            <c:numRef>
              <c:f>F1_Когортні_індекси!$C$38:$G$38</c:f>
              <c:numCache>
                <c:formatCode>0.000</c:formatCode>
                <c:ptCount val="5"/>
                <c:pt idx="0">
                  <c:v>0</c:v>
                </c:pt>
                <c:pt idx="1">
                  <c:v>0.11133941474744791</c:v>
                </c:pt>
                <c:pt idx="2">
                  <c:v>0.24482990038023483</c:v>
                </c:pt>
                <c:pt idx="3">
                  <c:v>0.34710960868921104</c:v>
                </c:pt>
                <c:pt idx="4">
                  <c:v>0.6081167280626727</c:v>
                </c:pt>
              </c:numCache>
            </c:numRef>
          </c:val>
          <c:smooth val="0"/>
        </c:ser>
        <c:ser>
          <c:idx val="2"/>
          <c:order val="2"/>
          <c:tx>
            <c:strRef>
              <c:f>F1_Когортні_індекси!$B$39</c:f>
              <c:strCache>
                <c:ptCount val="1"/>
                <c:pt idx="0">
                  <c:v>L3</c:v>
                </c:pt>
              </c:strCache>
            </c:strRef>
          </c:tx>
          <c:spPr>
            <a:ln w="28440">
              <a:solidFill>
                <a:srgbClr val="00A651"/>
              </a:solidFill>
              <a:prstDash val="sysDot"/>
              <a:round/>
            </a:ln>
          </c:spPr>
          <c:marker>
            <c:symbol val="triangle"/>
            <c:size val="7"/>
            <c:spPr>
              <a:solidFill>
                <a:srgbClr val="00A651"/>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F1_Когортні_індекси!$C$28:$G$28</c:f>
              <c:strCache>
                <c:ptCount val="5"/>
                <c:pt idx="0">
                  <c:v>Доба 0</c:v>
                </c:pt>
                <c:pt idx="1">
                  <c:v>Доба 4</c:v>
                </c:pt>
                <c:pt idx="2">
                  <c:v>Доба 8</c:v>
                </c:pt>
                <c:pt idx="3">
                  <c:v>Доба 12</c:v>
                </c:pt>
                <c:pt idx="4">
                  <c:v>Доба 21</c:v>
                </c:pt>
              </c:strCache>
            </c:strRef>
          </c:cat>
          <c:val>
            <c:numRef>
              <c:f>F1_Когортні_індекси!$C$39:$G$39</c:f>
              <c:numCache>
                <c:formatCode>0.000</c:formatCode>
                <c:ptCount val="5"/>
                <c:pt idx="0">
                  <c:v>0</c:v>
                </c:pt>
                <c:pt idx="1">
                  <c:v>0.12149277471226855</c:v>
                </c:pt>
                <c:pt idx="2">
                  <c:v>0.25211537043424892</c:v>
                </c:pt>
                <c:pt idx="3">
                  <c:v>0.37078406714525314</c:v>
                </c:pt>
                <c:pt idx="4">
                  <c:v>0.64664397425793185</c:v>
                </c:pt>
              </c:numCache>
            </c:numRef>
          </c:val>
          <c:smooth val="0"/>
        </c:ser>
        <c:ser>
          <c:idx val="3"/>
          <c:order val="3"/>
          <c:tx>
            <c:strRef>
              <c:f>F1_Когортні_індекси!$B$40</c:f>
              <c:strCache>
                <c:ptCount val="1"/>
                <c:pt idx="0">
                  <c:v>S</c:v>
                </c:pt>
              </c:strCache>
            </c:strRef>
          </c:tx>
          <c:spPr>
            <a:ln w="28440">
              <a:solidFill>
                <a:srgbClr val="7030A0"/>
              </a:solidFill>
              <a:prstDash val="dashDot"/>
              <a:round/>
            </a:ln>
          </c:spPr>
          <c:marker>
            <c:symbol val="diamond"/>
            <c:size val="7"/>
            <c:spPr>
              <a:solidFill>
                <a:srgbClr val="7030A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F1_Когортні_індекси!$C$28:$G$28</c:f>
              <c:strCache>
                <c:ptCount val="5"/>
                <c:pt idx="0">
                  <c:v>Доба 0</c:v>
                </c:pt>
                <c:pt idx="1">
                  <c:v>Доба 4</c:v>
                </c:pt>
                <c:pt idx="2">
                  <c:v>Доба 8</c:v>
                </c:pt>
                <c:pt idx="3">
                  <c:v>Доба 12</c:v>
                </c:pt>
                <c:pt idx="4">
                  <c:v>Доба 21</c:v>
                </c:pt>
              </c:strCache>
            </c:strRef>
          </c:cat>
          <c:val>
            <c:numRef>
              <c:f>F1_Когортні_індекси!$C$40:$G$40</c:f>
              <c:numCache>
                <c:formatCode>0.000</c:formatCode>
                <c:ptCount val="5"/>
                <c:pt idx="0">
                  <c:v>0</c:v>
                </c:pt>
                <c:pt idx="1">
                  <c:v>5.0227394548816362E-2</c:v>
                </c:pt>
                <c:pt idx="2">
                  <c:v>0.11058298153349166</c:v>
                </c:pt>
                <c:pt idx="3">
                  <c:v>0.16558675053402735</c:v>
                </c:pt>
                <c:pt idx="4">
                  <c:v>0.28617002524131796</c:v>
                </c:pt>
              </c:numCache>
            </c:numRef>
          </c:val>
          <c:smooth val="0"/>
        </c:ser>
        <c:dLbls>
          <c:showLegendKey val="0"/>
          <c:showVal val="0"/>
          <c:showCatName val="0"/>
          <c:showSerName val="0"/>
          <c:showPercent val="0"/>
          <c:showBubbleSize val="0"/>
        </c:dLbls>
        <c:hiLowLines>
          <c:spPr>
            <a:ln w="0">
              <a:noFill/>
            </a:ln>
          </c:spPr>
        </c:hiLowLines>
        <c:marker val="1"/>
        <c:smooth val="0"/>
        <c:axId val="-1079358464"/>
        <c:axId val="-1079364992"/>
      </c:lineChart>
      <c:catAx>
        <c:axId val="-1079358464"/>
        <c:scaling>
          <c:orientation val="minMax"/>
        </c:scaling>
        <c:delete val="0"/>
        <c:axPos val="b"/>
        <c:title>
          <c:tx>
            <c:rich>
              <a:bodyPr rot="0"/>
              <a:lstStyle/>
              <a:p>
                <a:pPr>
                  <a:defRPr lang="uk-UA" sz="1000" b="1" strike="noStrike" spc="-1">
                    <a:solidFill>
                      <a:srgbClr val="000000"/>
                    </a:solidFill>
                    <a:latin typeface="Calibri"/>
                  </a:defRPr>
                </a:pPr>
                <a:r>
                  <a:rPr lang="uk-UA" sz="1000" b="1" strike="noStrike" spc="-1">
                    <a:solidFill>
                      <a:srgbClr val="000000"/>
                    </a:solidFill>
                    <a:latin typeface="Calibri"/>
                  </a:rPr>
                  <a:t>Доба спостереження</a:t>
                </a:r>
              </a:p>
            </c:rich>
          </c:tx>
          <c:layout/>
          <c:overlay val="0"/>
          <c:spPr>
            <a:noFill/>
            <a:ln w="0">
              <a:noFill/>
            </a:ln>
          </c:spPr>
        </c:title>
        <c:numFmt formatCode="General" sourceLinked="0"/>
        <c:majorTickMark val="none"/>
        <c:minorTickMark val="none"/>
        <c:tickLblPos val="nextTo"/>
        <c:spPr>
          <a:ln w="0">
            <a:solidFill>
              <a:srgbClr val="B3B3B3"/>
            </a:solidFill>
          </a:ln>
        </c:spPr>
        <c:txPr>
          <a:bodyPr/>
          <a:lstStyle/>
          <a:p>
            <a:pPr>
              <a:defRPr sz="900" b="0" strike="noStrike" spc="-1">
                <a:solidFill>
                  <a:srgbClr val="000000"/>
                </a:solidFill>
                <a:latin typeface="Calibri"/>
              </a:defRPr>
            </a:pPr>
            <a:endParaRPr lang="uk-UA"/>
          </a:p>
        </c:txPr>
        <c:crossAx val="-1079364992"/>
        <c:crosses val="autoZero"/>
        <c:auto val="1"/>
        <c:lblAlgn val="ctr"/>
        <c:lblOffset val="100"/>
        <c:noMultiLvlLbl val="0"/>
      </c:catAx>
      <c:valAx>
        <c:axId val="-1079364992"/>
        <c:scaling>
          <c:orientation val="minMax"/>
          <c:max val="1"/>
          <c:min val="0"/>
        </c:scaling>
        <c:delete val="0"/>
        <c:axPos val="l"/>
        <c:majorGridlines>
          <c:spPr>
            <a:ln w="0">
              <a:solidFill>
                <a:srgbClr val="B3B3B3"/>
              </a:solidFill>
            </a:ln>
          </c:spPr>
        </c:majorGridlines>
        <c:title>
          <c:tx>
            <c:rich>
              <a:bodyPr rot="-5400000"/>
              <a:lstStyle/>
              <a:p>
                <a:pPr>
                  <a:defRPr lang="uk-UA" sz="1000" b="1" strike="noStrike" spc="-1">
                    <a:solidFill>
                      <a:srgbClr val="000000"/>
                    </a:solidFill>
                    <a:latin typeface="Calibri"/>
                  </a:defRPr>
                </a:pPr>
                <a:r>
                  <a:rPr lang="uk-UA" sz="1000" b="1" strike="noStrike" spc="-1">
                    <a:solidFill>
                      <a:srgbClr val="000000"/>
                    </a:solidFill>
                    <a:latin typeface="Calibri"/>
                  </a:rPr>
                  <a:t>Значення індексу (0–1)</a:t>
                </a:r>
              </a:p>
            </c:rich>
          </c:tx>
          <c:layout/>
          <c:overlay val="0"/>
          <c:spPr>
            <a:noFill/>
            <a:ln w="0">
              <a:noFill/>
            </a:ln>
          </c:spPr>
        </c:title>
        <c:numFmt formatCode="0.000" sourceLinked="0"/>
        <c:majorTickMark val="none"/>
        <c:minorTickMark val="none"/>
        <c:tickLblPos val="nextTo"/>
        <c:spPr>
          <a:ln w="0">
            <a:solidFill>
              <a:srgbClr val="B3B3B3"/>
            </a:solidFill>
          </a:ln>
        </c:spPr>
        <c:txPr>
          <a:bodyPr/>
          <a:lstStyle/>
          <a:p>
            <a:pPr>
              <a:defRPr sz="900" b="0" strike="noStrike" spc="-1">
                <a:solidFill>
                  <a:srgbClr val="000000"/>
                </a:solidFill>
                <a:latin typeface="Calibri"/>
              </a:defRPr>
            </a:pPr>
            <a:endParaRPr lang="uk-UA"/>
          </a:p>
        </c:txPr>
        <c:crossAx val="-1079358464"/>
        <c:crosses val="autoZero"/>
        <c:crossBetween val="between"/>
      </c:valAx>
      <c:spPr>
        <a:noFill/>
        <a:ln w="0">
          <a:noFill/>
        </a:ln>
      </c:spPr>
    </c:plotArea>
    <c:legend>
      <c:legendPos val="b"/>
      <c:layout/>
      <c:overlay val="0"/>
      <c:spPr>
        <a:noFill/>
        <a:ln w="0">
          <a:noFill/>
        </a:ln>
      </c:spPr>
      <c:txPr>
        <a:bodyPr/>
        <a:lstStyle/>
        <a:p>
          <a:pPr>
            <a:defRPr sz="1000" b="0" strike="noStrike" spc="-1">
              <a:solidFill>
                <a:srgbClr val="000000"/>
              </a:solidFill>
              <a:latin typeface="Calibri"/>
            </a:defRPr>
          </a:pPr>
          <a:endParaRPr lang="uk-UA"/>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uk-UA"/>
  <c:roundedCorners val="0"/>
  <c:style val="2"/>
  <c:chart>
    <c:title>
      <c:tx>
        <c:rich>
          <a:bodyPr rot="0"/>
          <a:lstStyle/>
          <a:p>
            <a:pPr>
              <a:defRPr lang="uk-UA" sz="1800" b="1" strike="noStrike" spc="-1">
                <a:solidFill>
                  <a:srgbClr val="000000"/>
                </a:solidFill>
                <a:latin typeface="Calibri"/>
              </a:defRPr>
            </a:pPr>
            <a:r>
              <a:rPr lang="uk-UA" sz="1800" b="1" strike="noStrike" spc="-1">
                <a:solidFill>
                  <a:srgbClr val="000000"/>
                </a:solidFill>
                <a:latin typeface="Calibri"/>
              </a:rPr>
              <a:t>Динаміка VAS за групами (середні значення)</a:t>
            </a:r>
          </a:p>
        </c:rich>
      </c:tx>
      <c:layout/>
      <c:overlay val="0"/>
      <c:spPr>
        <a:noFill/>
        <a:ln w="0">
          <a:noFill/>
        </a:ln>
      </c:spPr>
    </c:title>
    <c:autoTitleDeleted val="0"/>
    <c:plotArea>
      <c:layout/>
      <c:lineChart>
        <c:grouping val="standard"/>
        <c:varyColors val="0"/>
        <c:ser>
          <c:idx val="0"/>
          <c:order val="0"/>
          <c:tx>
            <c:strRef>
              <c:f>G_Тренди!$A$6</c:f>
              <c:strCache>
                <c:ptCount val="1"/>
                <c:pt idx="0">
                  <c:v>L1</c:v>
                </c:pt>
              </c:strCache>
            </c:strRef>
          </c:tx>
          <c:spPr>
            <a:ln w="28440">
              <a:solidFill>
                <a:srgbClr val="C00000"/>
              </a:solidFill>
              <a:round/>
            </a:ln>
          </c:spPr>
          <c:marker>
            <c:symbol val="circle"/>
            <c:size val="7"/>
            <c:spPr>
              <a:solidFill>
                <a:srgbClr val="C0000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G_Тренди!$B$5:$F$5</c:f>
              <c:strCache>
                <c:ptCount val="5"/>
                <c:pt idx="0">
                  <c:v>День 0</c:v>
                </c:pt>
                <c:pt idx="1">
                  <c:v>День 4</c:v>
                </c:pt>
                <c:pt idx="2">
                  <c:v>День 8</c:v>
                </c:pt>
                <c:pt idx="3">
                  <c:v>День 12</c:v>
                </c:pt>
                <c:pt idx="4">
                  <c:v>День 21</c:v>
                </c:pt>
              </c:strCache>
            </c:strRef>
          </c:cat>
          <c:val>
            <c:numRef>
              <c:f>G_Тренди!$B$6:$F$6</c:f>
              <c:numCache>
                <c:formatCode>0.00</c:formatCode>
                <c:ptCount val="5"/>
                <c:pt idx="0">
                  <c:v>6.7738095238095237</c:v>
                </c:pt>
                <c:pt idx="1">
                  <c:v>6.2761904761904779</c:v>
                </c:pt>
                <c:pt idx="2">
                  <c:v>5.8380952380952387</c:v>
                </c:pt>
                <c:pt idx="3">
                  <c:v>5.4071428571428566</c:v>
                </c:pt>
                <c:pt idx="4">
                  <c:v>4.3880952380952376</c:v>
                </c:pt>
              </c:numCache>
            </c:numRef>
          </c:val>
          <c:smooth val="0"/>
        </c:ser>
        <c:ser>
          <c:idx val="1"/>
          <c:order val="1"/>
          <c:tx>
            <c:strRef>
              <c:f>G_Тренди!$A$7</c:f>
              <c:strCache>
                <c:ptCount val="1"/>
                <c:pt idx="0">
                  <c:v>L2</c:v>
                </c:pt>
              </c:strCache>
            </c:strRef>
          </c:tx>
          <c:spPr>
            <a:ln w="28440">
              <a:solidFill>
                <a:srgbClr val="0070C0"/>
              </a:solidFill>
              <a:prstDash val="dash"/>
              <a:round/>
            </a:ln>
          </c:spPr>
          <c:marker>
            <c:symbol val="square"/>
            <c:size val="7"/>
            <c:spPr>
              <a:solidFill>
                <a:srgbClr val="0070C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G_Тренди!$B$5:$F$5</c:f>
              <c:strCache>
                <c:ptCount val="5"/>
                <c:pt idx="0">
                  <c:v>День 0</c:v>
                </c:pt>
                <c:pt idx="1">
                  <c:v>День 4</c:v>
                </c:pt>
                <c:pt idx="2">
                  <c:v>День 8</c:v>
                </c:pt>
                <c:pt idx="3">
                  <c:v>День 12</c:v>
                </c:pt>
                <c:pt idx="4">
                  <c:v>День 21</c:v>
                </c:pt>
              </c:strCache>
            </c:strRef>
          </c:cat>
          <c:val>
            <c:numRef>
              <c:f>G_Тренди!$B$7:$F$7</c:f>
              <c:numCache>
                <c:formatCode>0.00</c:formatCode>
                <c:ptCount val="5"/>
                <c:pt idx="0">
                  <c:v>6.8553191489361724</c:v>
                </c:pt>
                <c:pt idx="1">
                  <c:v>6.1617021276595763</c:v>
                </c:pt>
                <c:pt idx="2">
                  <c:v>5.3617021276595729</c:v>
                </c:pt>
                <c:pt idx="3">
                  <c:v>4.6851063829787227</c:v>
                </c:pt>
                <c:pt idx="4">
                  <c:v>3.0744680851063837</c:v>
                </c:pt>
              </c:numCache>
            </c:numRef>
          </c:val>
          <c:smooth val="0"/>
        </c:ser>
        <c:ser>
          <c:idx val="2"/>
          <c:order val="2"/>
          <c:tx>
            <c:strRef>
              <c:f>G_Тренди!$A$8</c:f>
              <c:strCache>
                <c:ptCount val="1"/>
                <c:pt idx="0">
                  <c:v>L3</c:v>
                </c:pt>
              </c:strCache>
            </c:strRef>
          </c:tx>
          <c:spPr>
            <a:ln w="28440">
              <a:solidFill>
                <a:srgbClr val="00A651"/>
              </a:solidFill>
              <a:prstDash val="sysDot"/>
              <a:round/>
            </a:ln>
          </c:spPr>
          <c:marker>
            <c:symbol val="triangle"/>
            <c:size val="7"/>
            <c:spPr>
              <a:solidFill>
                <a:srgbClr val="00A651"/>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G_Тренди!$B$5:$F$5</c:f>
              <c:strCache>
                <c:ptCount val="5"/>
                <c:pt idx="0">
                  <c:v>День 0</c:v>
                </c:pt>
                <c:pt idx="1">
                  <c:v>День 4</c:v>
                </c:pt>
                <c:pt idx="2">
                  <c:v>День 8</c:v>
                </c:pt>
                <c:pt idx="3">
                  <c:v>День 12</c:v>
                </c:pt>
                <c:pt idx="4">
                  <c:v>День 21</c:v>
                </c:pt>
              </c:strCache>
            </c:strRef>
          </c:cat>
          <c:val>
            <c:numRef>
              <c:f>G_Тренди!$B$8:$F$8</c:f>
              <c:numCache>
                <c:formatCode>0.00</c:formatCode>
                <c:ptCount val="5"/>
                <c:pt idx="0">
                  <c:v>6.884615384615385</c:v>
                </c:pt>
                <c:pt idx="1">
                  <c:v>6.1076923076923091</c:v>
                </c:pt>
                <c:pt idx="2">
                  <c:v>5.3435897435897424</c:v>
                </c:pt>
                <c:pt idx="3">
                  <c:v>4.6076923076923082</c:v>
                </c:pt>
                <c:pt idx="4">
                  <c:v>2.8820512820512811</c:v>
                </c:pt>
              </c:numCache>
            </c:numRef>
          </c:val>
          <c:smooth val="0"/>
        </c:ser>
        <c:ser>
          <c:idx val="3"/>
          <c:order val="3"/>
          <c:tx>
            <c:strRef>
              <c:f>G_Тренди!$A$9</c:f>
              <c:strCache>
                <c:ptCount val="1"/>
                <c:pt idx="0">
                  <c:v>S</c:v>
                </c:pt>
              </c:strCache>
            </c:strRef>
          </c:tx>
          <c:spPr>
            <a:ln w="28440">
              <a:solidFill>
                <a:srgbClr val="7030A0"/>
              </a:solidFill>
              <a:prstDash val="dashDot"/>
              <a:round/>
            </a:ln>
          </c:spPr>
          <c:marker>
            <c:symbol val="diamond"/>
            <c:size val="7"/>
            <c:spPr>
              <a:solidFill>
                <a:srgbClr val="7030A0"/>
              </a:solidFill>
            </c:spPr>
          </c:marker>
          <c:dLbls>
            <c:spPr>
              <a:noFill/>
              <a:ln>
                <a:noFill/>
              </a:ln>
              <a:effectLst/>
            </c:spPr>
            <c:txPr>
              <a:bodyPr wrap="square"/>
              <a:lstStyle/>
              <a:p>
                <a:pPr>
                  <a:defRPr sz="1000" b="0" strike="noStrike" spc="-1">
                    <a:solidFill>
                      <a:srgbClr val="000000"/>
                    </a:solidFill>
                    <a:latin typeface="Arial"/>
                  </a:defRPr>
                </a:pPr>
                <a:endParaRPr lang="uk-UA"/>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G_Тренди!$B$5:$F$5</c:f>
              <c:strCache>
                <c:ptCount val="5"/>
                <c:pt idx="0">
                  <c:v>День 0</c:v>
                </c:pt>
                <c:pt idx="1">
                  <c:v>День 4</c:v>
                </c:pt>
                <c:pt idx="2">
                  <c:v>День 8</c:v>
                </c:pt>
                <c:pt idx="3">
                  <c:v>День 12</c:v>
                </c:pt>
                <c:pt idx="4">
                  <c:v>День 21</c:v>
                </c:pt>
              </c:strCache>
            </c:strRef>
          </c:cat>
          <c:val>
            <c:numRef>
              <c:f>G_Тренди!$B$9:$F$9</c:f>
              <c:numCache>
                <c:formatCode>0.00</c:formatCode>
                <c:ptCount val="5"/>
                <c:pt idx="0">
                  <c:v>6.9179104477611926</c:v>
                </c:pt>
                <c:pt idx="1">
                  <c:v>6.5746268656716431</c:v>
                </c:pt>
                <c:pt idx="2">
                  <c:v>6.2164179104477597</c:v>
                </c:pt>
                <c:pt idx="3">
                  <c:v>5.8776119402985092</c:v>
                </c:pt>
                <c:pt idx="4">
                  <c:v>5.1149253731343292</c:v>
                </c:pt>
              </c:numCache>
            </c:numRef>
          </c:val>
          <c:smooth val="0"/>
        </c:ser>
        <c:dLbls>
          <c:showLegendKey val="0"/>
          <c:showVal val="0"/>
          <c:showCatName val="0"/>
          <c:showSerName val="0"/>
          <c:showPercent val="0"/>
          <c:showBubbleSize val="0"/>
        </c:dLbls>
        <c:hiLowLines>
          <c:spPr>
            <a:ln w="0">
              <a:noFill/>
            </a:ln>
          </c:spPr>
        </c:hiLowLines>
        <c:marker val="1"/>
        <c:smooth val="0"/>
        <c:axId val="-1079360096"/>
        <c:axId val="-1084814240"/>
      </c:lineChart>
      <c:catAx>
        <c:axId val="-1079360096"/>
        <c:scaling>
          <c:orientation val="minMax"/>
        </c:scaling>
        <c:delete val="0"/>
        <c:axPos val="b"/>
        <c:title>
          <c:tx>
            <c:rich>
              <a:bodyPr rot="0"/>
              <a:lstStyle/>
              <a:p>
                <a:pPr>
                  <a:defRPr lang="uk-UA" sz="1000" b="1" strike="noStrike" spc="-1">
                    <a:solidFill>
                      <a:srgbClr val="000000"/>
                    </a:solidFill>
                    <a:latin typeface="Calibri"/>
                  </a:defRPr>
                </a:pPr>
                <a:r>
                  <a:rPr lang="uk-UA" sz="1000" b="1" strike="noStrike" spc="-1">
                    <a:solidFill>
                      <a:srgbClr val="000000"/>
                    </a:solidFill>
                    <a:latin typeface="Calibri"/>
                  </a:rPr>
                  <a:t>Доба спостереження</a:t>
                </a:r>
              </a:p>
            </c:rich>
          </c:tx>
          <c:layout/>
          <c:overlay val="0"/>
          <c:spPr>
            <a:noFill/>
            <a:ln w="0">
              <a:noFill/>
            </a:ln>
          </c:spPr>
        </c:title>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uk-UA"/>
          </a:p>
        </c:txPr>
        <c:crossAx val="-1084814240"/>
        <c:crosses val="autoZero"/>
        <c:auto val="1"/>
        <c:lblAlgn val="ctr"/>
        <c:lblOffset val="100"/>
        <c:noMultiLvlLbl val="0"/>
      </c:catAx>
      <c:valAx>
        <c:axId val="-1084814240"/>
        <c:scaling>
          <c:orientation val="minMax"/>
        </c:scaling>
        <c:delete val="0"/>
        <c:axPos val="l"/>
        <c:majorGridlines>
          <c:spPr>
            <a:ln w="0">
              <a:solidFill>
                <a:srgbClr val="B3B3B3"/>
              </a:solidFill>
            </a:ln>
          </c:spPr>
        </c:majorGridlines>
        <c:title>
          <c:tx>
            <c:rich>
              <a:bodyPr rot="-5400000"/>
              <a:lstStyle/>
              <a:p>
                <a:pPr>
                  <a:defRPr lang="en-US" sz="1000" b="1" strike="noStrike" spc="-1">
                    <a:solidFill>
                      <a:srgbClr val="000000"/>
                    </a:solidFill>
                    <a:latin typeface="Calibri"/>
                  </a:defRPr>
                </a:pPr>
                <a:r>
                  <a:rPr lang="en-US" sz="1000" b="1" strike="noStrike" spc="-1">
                    <a:solidFill>
                      <a:srgbClr val="000000"/>
                    </a:solidFill>
                    <a:latin typeface="Calibri"/>
                  </a:rPr>
                  <a:t>VAS, бали</a:t>
                </a:r>
              </a:p>
            </c:rich>
          </c:tx>
          <c:layout/>
          <c:overlay val="0"/>
          <c:spPr>
            <a:noFill/>
            <a:ln w="0">
              <a:noFill/>
            </a:ln>
          </c:spPr>
        </c:title>
        <c:numFmt formatCode="0.0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uk-UA"/>
          </a:p>
        </c:txPr>
        <c:crossAx val="-1079360096"/>
        <c:crosses val="autoZero"/>
        <c:crossBetween val="between"/>
      </c:valAx>
      <c:spPr>
        <a:noFill/>
        <a:ln w="0">
          <a:noFill/>
        </a:ln>
      </c:spPr>
    </c:plotArea>
    <c:legend>
      <c:legendPos val="b"/>
      <c:layout/>
      <c:overlay val="0"/>
      <c:spPr>
        <a:noFill/>
        <a:ln w="0">
          <a:noFill/>
        </a:ln>
      </c:spPr>
      <c:txPr>
        <a:bodyPr/>
        <a:lstStyle/>
        <a:p>
          <a:pPr>
            <a:defRPr sz="1000" b="0" strike="noStrike" spc="-1">
              <a:solidFill>
                <a:srgbClr val="000000"/>
              </a:solidFill>
              <a:latin typeface="Calibri"/>
            </a:defRPr>
          </a:pPr>
          <a:endParaRPr lang="uk-UA"/>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 Id="rId4" Type="http://schemas.openxmlformats.org/officeDocument/2006/relationships/chart" Target="../charts/chart10.xml"/></Relationships>
</file>

<file path=xl/drawings/_rels/drawing5.xml.rels><?xml version="1.0" encoding="UTF-8" standalone="yes"?>
<Relationships xmlns="http://schemas.openxmlformats.org/package/2006/relationships"><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27</xdr:row>
      <xdr:rowOff>0</xdr:rowOff>
    </xdr:from>
    <xdr:to>
      <xdr:col>7</xdr:col>
      <xdr:colOff>1069560</xdr:colOff>
      <xdr:row>44</xdr:row>
      <xdr:rowOff>176040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49</xdr:row>
      <xdr:rowOff>0</xdr:rowOff>
    </xdr:from>
    <xdr:to>
      <xdr:col>7</xdr:col>
      <xdr:colOff>1069560</xdr:colOff>
      <xdr:row>64</xdr:row>
      <xdr:rowOff>17280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15</xdr:row>
      <xdr:rowOff>146160</xdr:rowOff>
    </xdr:from>
    <xdr:to>
      <xdr:col>4</xdr:col>
      <xdr:colOff>56160</xdr:colOff>
      <xdr:row>64</xdr:row>
      <xdr:rowOff>167040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22</xdr:row>
      <xdr:rowOff>175680</xdr:rowOff>
    </xdr:from>
    <xdr:to>
      <xdr:col>7</xdr:col>
      <xdr:colOff>128520</xdr:colOff>
      <xdr:row>37</xdr:row>
      <xdr:rowOff>190440</xdr:rowOff>
    </xdr:to>
    <xdr:graphicFrame macro="">
      <xdr:nvGraphicFramePr>
        <xdr:cNvPr id="3"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39</xdr:row>
      <xdr:rowOff>176040</xdr:rowOff>
    </xdr:from>
    <xdr:to>
      <xdr:col>7</xdr:col>
      <xdr:colOff>128520</xdr:colOff>
      <xdr:row>54</xdr:row>
      <xdr:rowOff>190440</xdr:rowOff>
    </xdr:to>
    <xdr:graphicFrame macro="">
      <xdr:nvGraphicFramePr>
        <xdr:cNvPr id="4"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56</xdr:row>
      <xdr:rowOff>176040</xdr:rowOff>
    </xdr:from>
    <xdr:to>
      <xdr:col>7</xdr:col>
      <xdr:colOff>128520</xdr:colOff>
      <xdr:row>70</xdr:row>
      <xdr:rowOff>20880</xdr:rowOff>
    </xdr:to>
    <xdr:graphicFrame macro="">
      <xdr:nvGraphicFramePr>
        <xdr:cNvPr id="5"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48</xdr:row>
      <xdr:rowOff>44640</xdr:rowOff>
    </xdr:from>
    <xdr:to>
      <xdr:col>7</xdr:col>
      <xdr:colOff>826920</xdr:colOff>
      <xdr:row>63</xdr:row>
      <xdr:rowOff>60120</xdr:rowOff>
    </xdr:to>
    <xdr:graphicFrame macro="">
      <xdr:nvGraphicFramePr>
        <xdr:cNvPr id="6"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0</xdr:colOff>
      <xdr:row>48</xdr:row>
      <xdr:rowOff>44640</xdr:rowOff>
    </xdr:from>
    <xdr:to>
      <xdr:col>19</xdr:col>
      <xdr:colOff>474480</xdr:colOff>
      <xdr:row>63</xdr:row>
      <xdr:rowOff>60120</xdr:rowOff>
    </xdr:to>
    <xdr:graphicFrame macro="">
      <xdr:nvGraphicFramePr>
        <xdr:cNvPr id="7"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64</xdr:row>
      <xdr:rowOff>44280</xdr:rowOff>
    </xdr:from>
    <xdr:to>
      <xdr:col>7</xdr:col>
      <xdr:colOff>826920</xdr:colOff>
      <xdr:row>79</xdr:row>
      <xdr:rowOff>60120</xdr:rowOff>
    </xdr:to>
    <xdr:graphicFrame macro="">
      <xdr:nvGraphicFramePr>
        <xdr:cNvPr id="8"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64</xdr:row>
      <xdr:rowOff>44280</xdr:rowOff>
    </xdr:from>
    <xdr:to>
      <xdr:col>19</xdr:col>
      <xdr:colOff>474480</xdr:colOff>
      <xdr:row>79</xdr:row>
      <xdr:rowOff>60120</xdr:rowOff>
    </xdr:to>
    <xdr:graphicFrame macro="">
      <xdr:nvGraphicFramePr>
        <xdr:cNvPr id="9"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12</xdr:row>
      <xdr:rowOff>0</xdr:rowOff>
    </xdr:from>
    <xdr:to>
      <xdr:col>10</xdr:col>
      <xdr:colOff>33120</xdr:colOff>
      <xdr:row>29</xdr:row>
      <xdr:rowOff>175680</xdr:rowOff>
    </xdr:to>
    <xdr:graphicFrame macro="">
      <xdr:nvGraphicFramePr>
        <xdr:cNvPr id="10"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iiiii-my.sharepoint.com/personal/mykhailo_fyk_khpi_edu_ua/_layouts/15/Doc.aspx?sourcedoc=%7BEA5CFE36-D85A-4CB5-A259-881CACEEA152%7D&amp;file=&#1047;&#1074;&#1110;&#1090;_&#1053;&#1044;&#1056;_&#1052;&#1059;&#1060;&#1051;&#1054;&#1053;_1_&#1077;&#1090;&#1072;&#1087;_2026_2027_1.docx&amp;action=default&amp;mobileredirect=true" TargetMode="External"/><Relationship Id="rId2" Type="http://schemas.openxmlformats.org/officeDocument/2006/relationships/hyperlink" Target="https://iiiii-my.sharepoint.com/personal/mykhailo_fyk_khpi_edu_ua/_layouts/15/Doc.aspx?sourcedoc=%7BEA5CFE36-D85A-4CB5-A259-881CACEEA152%7D&amp;file=&#1047;&#1074;&#1110;&#1090;_&#1053;&#1044;&#1056;_&#1052;&#1059;&#1060;&#1051;&#1054;&#1053;_1_&#1077;&#1090;&#1072;&#1087;_2026_2027_1.docx&amp;action=default&amp;mobileredirect=true" TargetMode="External"/><Relationship Id="rId1" Type="http://schemas.openxmlformats.org/officeDocument/2006/relationships/hyperlink" Target="https://iiiii-my.sharepoint.com/personal/mykhailo_fyk_khpi_edu_ua/_layouts/15/Doc.aspx?sourcedoc=%7BEA5CFE36-D85A-4CB5-A259-881CACEEA152%7D&amp;file=&#1047;&#1074;&#1110;&#1090;_&#1053;&#1044;&#1056;_&#1052;&#1059;&#1060;&#1051;&#1054;&#1053;_1_&#1077;&#1090;&#1072;&#1087;_2026_2027_1.docx&amp;action=default&amp;mobileredirect=true" TargetMode="External"/><Relationship Id="rId6" Type="http://schemas.openxmlformats.org/officeDocument/2006/relationships/hyperlink" Target="https://iiiii-my.sharepoint.com/personal/mykhailo_fyk_khpi_edu_ua/_layouts/15/Doc.aspx?sourcedoc=%7BEA5CFE36-D85A-4CB5-A259-881CACEEA152%7D&amp;file=&#1047;&#1074;&#1110;&#1090;_&#1053;&#1044;&#1056;_&#1052;&#1059;&#1060;&#1051;&#1054;&#1053;_1_&#1077;&#1090;&#1072;&#1087;_2026_2027_1.docx&amp;action=default&amp;mobileredirect=true" TargetMode="External"/><Relationship Id="rId5" Type="http://schemas.openxmlformats.org/officeDocument/2006/relationships/hyperlink" Target="https://iiiii-my.sharepoint.com/personal/mykhailo_fyk_khpi_edu_ua/_layouts/15/Doc.aspx?sourcedoc=%7BEA5CFE36-D85A-4CB5-A259-881CACEEA152%7D&amp;file=&#1047;&#1074;&#1110;&#1090;_&#1053;&#1044;&#1056;_&#1052;&#1059;&#1060;&#1051;&#1054;&#1053;_1_&#1077;&#1090;&#1072;&#1087;_2026_2027_1.docx&amp;action=default&amp;mobileredirect=true" TargetMode="External"/><Relationship Id="rId4" Type="http://schemas.openxmlformats.org/officeDocument/2006/relationships/hyperlink" Target="https://iiiii-my.sharepoint.com/personal/mykhailo_fyk_khpi_edu_ua/_layouts/15/Doc.aspx?sourcedoc=%7BEA5CFE36-D85A-4CB5-A259-881CACEEA152%7D&amp;file=&#1047;&#1074;&#1110;&#1090;_&#1053;&#1044;&#1056;_&#1052;&#1059;&#1060;&#1051;&#1054;&#1053;_1_&#1077;&#1090;&#1072;&#1087;_2026_2027_1.docx&amp;action=default&amp;mobileredirect=true"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zoomScaleNormal="100" workbookViewId="0">
      <selection activeCell="F23" sqref="F23"/>
    </sheetView>
  </sheetViews>
  <sheetFormatPr defaultColWidth="8.7109375" defaultRowHeight="15" x14ac:dyDescent="0.25"/>
  <cols>
    <col min="1" max="1" width="30" style="15" customWidth="1"/>
    <col min="2" max="2" width="52" style="15" customWidth="1"/>
    <col min="3" max="3" width="26" style="15" customWidth="1"/>
    <col min="4" max="4" width="14" style="15" customWidth="1"/>
    <col min="5" max="5" width="18" style="15" customWidth="1"/>
    <col min="6" max="6" width="30" style="15" customWidth="1"/>
  </cols>
  <sheetData>
    <row r="1" spans="1:6" ht="17.25" customHeight="1" x14ac:dyDescent="0.25">
      <c r="A1" s="14" t="s">
        <v>0</v>
      </c>
      <c r="B1" s="14"/>
      <c r="C1" s="14"/>
      <c r="D1" s="14"/>
      <c r="E1" s="14"/>
      <c r="F1" s="14"/>
    </row>
    <row r="2" spans="1:6" ht="31.5" customHeight="1" x14ac:dyDescent="0.25">
      <c r="A2" s="13" t="s">
        <v>1</v>
      </c>
      <c r="B2" s="13"/>
      <c r="C2" s="13"/>
      <c r="D2" s="13"/>
      <c r="E2" s="13"/>
      <c r="F2" s="13"/>
    </row>
    <row r="3" spans="1:6" ht="75.75" customHeight="1" x14ac:dyDescent="0.25">
      <c r="A3" s="12"/>
      <c r="B3" s="12"/>
      <c r="C3" s="12"/>
      <c r="D3" s="12"/>
      <c r="E3" s="12"/>
      <c r="F3" s="12"/>
    </row>
    <row r="4" spans="1:6" ht="27.75" customHeight="1" x14ac:dyDescent="0.25"/>
    <row r="5" spans="1:6" ht="21.75" customHeight="1" x14ac:dyDescent="0.25">
      <c r="A5" s="16" t="s">
        <v>2</v>
      </c>
      <c r="B5" s="16" t="s">
        <v>3</v>
      </c>
      <c r="C5" s="16" t="s">
        <v>4</v>
      </c>
      <c r="D5" s="16" t="s">
        <v>5</v>
      </c>
      <c r="E5" s="16" t="s">
        <v>6</v>
      </c>
      <c r="F5" s="16" t="s">
        <v>7</v>
      </c>
    </row>
    <row r="6" spans="1:6" ht="21.75" customHeight="1" x14ac:dyDescent="0.25">
      <c r="A6" s="17" t="s">
        <v>8</v>
      </c>
      <c r="B6" s="18" t="s">
        <v>9</v>
      </c>
      <c r="C6" s="18" t="s">
        <v>10</v>
      </c>
      <c r="D6" s="19" t="s">
        <v>11</v>
      </c>
      <c r="E6" s="19" t="s">
        <v>12</v>
      </c>
      <c r="F6" s="20"/>
    </row>
    <row r="7" spans="1:6" ht="21.75" customHeight="1" x14ac:dyDescent="0.25">
      <c r="A7" s="21" t="s">
        <v>13</v>
      </c>
      <c r="B7" s="22" t="s">
        <v>14</v>
      </c>
      <c r="C7" s="22" t="s">
        <v>15</v>
      </c>
      <c r="D7" s="23" t="s">
        <v>16</v>
      </c>
      <c r="E7" s="24" t="s">
        <v>17</v>
      </c>
      <c r="F7" s="25" t="s">
        <v>18</v>
      </c>
    </row>
    <row r="8" spans="1:6" ht="21.75" customHeight="1" x14ac:dyDescent="0.25">
      <c r="A8" s="21" t="s">
        <v>19</v>
      </c>
      <c r="B8" s="22" t="s">
        <v>20</v>
      </c>
      <c r="C8" s="22" t="s">
        <v>21</v>
      </c>
      <c r="D8" s="23" t="s">
        <v>16</v>
      </c>
      <c r="E8" s="24" t="s">
        <v>17</v>
      </c>
      <c r="F8" s="25" t="s">
        <v>22</v>
      </c>
    </row>
    <row r="9" spans="1:6" ht="21.75" customHeight="1" x14ac:dyDescent="0.25">
      <c r="A9" s="21" t="s">
        <v>23</v>
      </c>
      <c r="B9" s="22" t="s">
        <v>24</v>
      </c>
      <c r="C9" s="22" t="s">
        <v>25</v>
      </c>
      <c r="D9" s="23" t="s">
        <v>16</v>
      </c>
      <c r="E9" s="24" t="s">
        <v>17</v>
      </c>
      <c r="F9" s="25" t="s">
        <v>26</v>
      </c>
    </row>
    <row r="10" spans="1:6" ht="21.75" customHeight="1" x14ac:dyDescent="0.25">
      <c r="A10" s="21" t="s">
        <v>27</v>
      </c>
      <c r="B10" s="22" t="s">
        <v>28</v>
      </c>
      <c r="C10" s="22" t="s">
        <v>29</v>
      </c>
      <c r="D10" s="23" t="s">
        <v>16</v>
      </c>
      <c r="E10" s="24" t="s">
        <v>17</v>
      </c>
      <c r="F10" s="25" t="s">
        <v>30</v>
      </c>
    </row>
    <row r="11" spans="1:6" ht="21.75" customHeight="1" x14ac:dyDescent="0.25">
      <c r="A11" s="21" t="s">
        <v>31</v>
      </c>
      <c r="B11" s="22" t="s">
        <v>32</v>
      </c>
      <c r="C11" s="22" t="s">
        <v>33</v>
      </c>
      <c r="D11" s="23" t="s">
        <v>16</v>
      </c>
      <c r="E11" s="23" t="s">
        <v>12</v>
      </c>
      <c r="F11" s="25" t="s">
        <v>34</v>
      </c>
    </row>
    <row r="12" spans="1:6" ht="21.75" customHeight="1" x14ac:dyDescent="0.25">
      <c r="A12" s="21" t="s">
        <v>35</v>
      </c>
      <c r="B12" s="22" t="s">
        <v>36</v>
      </c>
      <c r="C12" s="22" t="s">
        <v>33</v>
      </c>
      <c r="D12" s="23" t="s">
        <v>16</v>
      </c>
      <c r="E12" s="23" t="s">
        <v>12</v>
      </c>
      <c r="F12" s="25"/>
    </row>
    <row r="13" spans="1:6" ht="21.75" customHeight="1" x14ac:dyDescent="0.25">
      <c r="A13" s="26" t="s">
        <v>37</v>
      </c>
      <c r="B13" s="27" t="s">
        <v>38</v>
      </c>
      <c r="C13" s="27" t="s">
        <v>39</v>
      </c>
      <c r="D13" s="28" t="s">
        <v>40</v>
      </c>
      <c r="E13" s="28" t="s">
        <v>12</v>
      </c>
      <c r="F13" s="29"/>
    </row>
    <row r="14" spans="1:6" ht="21.75" customHeight="1" x14ac:dyDescent="0.25">
      <c r="A14" s="26" t="s">
        <v>41</v>
      </c>
      <c r="B14" s="27" t="s">
        <v>42</v>
      </c>
      <c r="C14" s="27" t="s">
        <v>43</v>
      </c>
      <c r="D14" s="28" t="s">
        <v>40</v>
      </c>
      <c r="E14" s="28" t="s">
        <v>44</v>
      </c>
      <c r="F14" s="29" t="s">
        <v>45</v>
      </c>
    </row>
    <row r="15" spans="1:6" ht="21.75" customHeight="1" x14ac:dyDescent="0.25">
      <c r="A15" s="26" t="s">
        <v>46</v>
      </c>
      <c r="B15" s="27" t="s">
        <v>47</v>
      </c>
      <c r="C15" s="27" t="s">
        <v>43</v>
      </c>
      <c r="D15" s="28" t="s">
        <v>40</v>
      </c>
      <c r="E15" s="28" t="s">
        <v>44</v>
      </c>
      <c r="F15" s="29" t="s">
        <v>48</v>
      </c>
    </row>
    <row r="16" spans="1:6" ht="21.75" customHeight="1" x14ac:dyDescent="0.25">
      <c r="A16" s="26" t="s">
        <v>49</v>
      </c>
      <c r="B16" s="27" t="s">
        <v>50</v>
      </c>
      <c r="C16" s="27" t="s">
        <v>51</v>
      </c>
      <c r="D16" s="28" t="s">
        <v>40</v>
      </c>
      <c r="E16" s="28" t="s">
        <v>12</v>
      </c>
      <c r="F16" s="29"/>
    </row>
    <row r="17" spans="1:6" ht="21.75" customHeight="1" x14ac:dyDescent="0.25">
      <c r="A17" s="26" t="s">
        <v>52</v>
      </c>
      <c r="B17" s="27" t="s">
        <v>53</v>
      </c>
      <c r="C17" s="27" t="s">
        <v>54</v>
      </c>
      <c r="D17" s="28" t="s">
        <v>40</v>
      </c>
      <c r="E17" s="30" t="s">
        <v>55</v>
      </c>
      <c r="F17" s="29" t="s">
        <v>56</v>
      </c>
    </row>
    <row r="18" spans="1:6" ht="21.75" customHeight="1" x14ac:dyDescent="0.25">
      <c r="A18" s="26" t="s">
        <v>57</v>
      </c>
      <c r="B18" s="27" t="s">
        <v>58</v>
      </c>
      <c r="C18" s="27" t="s">
        <v>51</v>
      </c>
      <c r="D18" s="28" t="s">
        <v>40</v>
      </c>
      <c r="E18" s="30" t="s">
        <v>55</v>
      </c>
      <c r="F18" s="29" t="s">
        <v>59</v>
      </c>
    </row>
    <row r="19" spans="1:6" ht="21.75" customHeight="1" x14ac:dyDescent="0.25">
      <c r="A19" s="26" t="s">
        <v>60</v>
      </c>
      <c r="B19" s="27" t="s">
        <v>61</v>
      </c>
      <c r="C19" s="27" t="s">
        <v>54</v>
      </c>
      <c r="D19" s="28" t="s">
        <v>40</v>
      </c>
      <c r="E19" s="30" t="s">
        <v>55</v>
      </c>
      <c r="F19" s="31" t="s">
        <v>62</v>
      </c>
    </row>
    <row r="20" spans="1:6" ht="21.75" customHeight="1" x14ac:dyDescent="0.25">
      <c r="A20" s="26" t="s">
        <v>63</v>
      </c>
      <c r="B20" s="27" t="s">
        <v>64</v>
      </c>
      <c r="C20" s="27" t="s">
        <v>65</v>
      </c>
      <c r="D20" s="28" t="s">
        <v>40</v>
      </c>
      <c r="E20" s="30" t="s">
        <v>55</v>
      </c>
      <c r="F20" s="29" t="s">
        <v>66</v>
      </c>
    </row>
    <row r="21" spans="1:6" ht="21.75" customHeight="1" x14ac:dyDescent="0.25">
      <c r="A21" s="26" t="s">
        <v>67</v>
      </c>
      <c r="B21" s="27" t="s">
        <v>68</v>
      </c>
      <c r="C21" s="27" t="s">
        <v>54</v>
      </c>
      <c r="D21" s="28" t="s">
        <v>40</v>
      </c>
      <c r="E21" s="30" t="s">
        <v>55</v>
      </c>
      <c r="F21" s="29" t="s">
        <v>69</v>
      </c>
    </row>
    <row r="22" spans="1:6" ht="21.75" customHeight="1" x14ac:dyDescent="0.25">
      <c r="A22" s="17" t="s">
        <v>70</v>
      </c>
      <c r="B22" s="18" t="s">
        <v>71</v>
      </c>
      <c r="C22" s="18" t="s">
        <v>54</v>
      </c>
      <c r="D22" s="19" t="s">
        <v>11</v>
      </c>
      <c r="E22" s="19" t="s">
        <v>12</v>
      </c>
      <c r="F22" s="32" t="s">
        <v>72</v>
      </c>
    </row>
    <row r="23" spans="1:6" ht="21.75" customHeight="1" x14ac:dyDescent="0.25">
      <c r="A23" s="17" t="s">
        <v>73</v>
      </c>
      <c r="B23" s="18" t="s">
        <v>74</v>
      </c>
      <c r="C23" s="18" t="s">
        <v>51</v>
      </c>
      <c r="D23" s="19" t="s">
        <v>11</v>
      </c>
      <c r="E23" s="19" t="s">
        <v>75</v>
      </c>
      <c r="F23" s="20" t="s">
        <v>76</v>
      </c>
    </row>
    <row r="24" spans="1:6" ht="21.75" customHeight="1" x14ac:dyDescent="0.25">
      <c r="A24" s="17" t="s">
        <v>77</v>
      </c>
      <c r="B24" s="18" t="s">
        <v>78</v>
      </c>
      <c r="C24" s="18" t="s">
        <v>51</v>
      </c>
      <c r="D24" s="19" t="s">
        <v>11</v>
      </c>
      <c r="E24" s="19" t="s">
        <v>12</v>
      </c>
      <c r="F24" s="20"/>
    </row>
    <row r="25" spans="1:6" ht="21.75" customHeight="1" x14ac:dyDescent="0.25">
      <c r="A25" s="17" t="s">
        <v>79</v>
      </c>
      <c r="B25" s="18" t="s">
        <v>80</v>
      </c>
      <c r="C25" s="18" t="s">
        <v>21</v>
      </c>
      <c r="D25" s="19" t="s">
        <v>11</v>
      </c>
      <c r="E25" s="19" t="s">
        <v>75</v>
      </c>
      <c r="F25" s="20" t="s">
        <v>81</v>
      </c>
    </row>
    <row r="26" spans="1:6" ht="21.75" customHeight="1" x14ac:dyDescent="0.25">
      <c r="A26" s="17" t="s">
        <v>82</v>
      </c>
      <c r="B26" s="18" t="s">
        <v>83</v>
      </c>
      <c r="C26" s="18" t="s">
        <v>84</v>
      </c>
      <c r="D26" s="19" t="s">
        <v>11</v>
      </c>
      <c r="E26" s="33" t="s">
        <v>55</v>
      </c>
      <c r="F26" s="20" t="s">
        <v>85</v>
      </c>
    </row>
    <row r="27" spans="1:6" ht="15" customHeight="1" x14ac:dyDescent="0.25">
      <c r="A27" s="17" t="s">
        <v>86</v>
      </c>
      <c r="B27" s="18" t="s">
        <v>87</v>
      </c>
      <c r="C27" s="18" t="s">
        <v>88</v>
      </c>
      <c r="D27" s="19" t="s">
        <v>11</v>
      </c>
      <c r="E27" s="19" t="s">
        <v>75</v>
      </c>
      <c r="F27" s="20" t="s">
        <v>89</v>
      </c>
    </row>
    <row r="28" spans="1:6" ht="15" customHeight="1" x14ac:dyDescent="0.25">
      <c r="A28" s="11" t="s">
        <v>90</v>
      </c>
      <c r="B28" s="11"/>
      <c r="C28" s="11"/>
      <c r="D28" s="11"/>
      <c r="E28" s="11"/>
      <c r="F28" s="11"/>
    </row>
    <row r="29" spans="1:6" ht="43.5" customHeight="1" x14ac:dyDescent="0.25">
      <c r="A29" s="21" t="s">
        <v>91</v>
      </c>
      <c r="B29" s="10"/>
      <c r="C29" s="10"/>
      <c r="D29" s="10"/>
      <c r="E29" s="10"/>
      <c r="F29" s="10"/>
    </row>
    <row r="30" spans="1:6" ht="43.5" customHeight="1" x14ac:dyDescent="0.25">
      <c r="A30" s="26" t="s">
        <v>92</v>
      </c>
      <c r="B30" s="10"/>
      <c r="C30" s="10"/>
      <c r="D30" s="10"/>
      <c r="E30" s="10"/>
      <c r="F30" s="10"/>
    </row>
    <row r="31" spans="1:6" ht="21.75" customHeight="1" x14ac:dyDescent="0.25">
      <c r="A31" s="21" t="s">
        <v>93</v>
      </c>
      <c r="B31" s="22" t="s">
        <v>94</v>
      </c>
      <c r="C31" s="35"/>
      <c r="D31" s="35"/>
      <c r="E31" s="35"/>
      <c r="F31" s="34"/>
    </row>
    <row r="32" spans="1:6" ht="60.75" customHeight="1" x14ac:dyDescent="0.25"/>
    <row r="33" spans="1:6" ht="30.75" customHeight="1" x14ac:dyDescent="0.25">
      <c r="A33" s="36" t="s">
        <v>95</v>
      </c>
    </row>
    <row r="34" spans="1:6" ht="21.75" customHeight="1" x14ac:dyDescent="0.25">
      <c r="A34" s="37" t="s">
        <v>96</v>
      </c>
      <c r="B34" s="38" t="s">
        <v>97</v>
      </c>
      <c r="C34" s="35"/>
      <c r="D34" s="35"/>
      <c r="E34" s="35"/>
      <c r="F34" s="34"/>
    </row>
    <row r="35" spans="1:6" ht="21.75" customHeight="1" x14ac:dyDescent="0.25">
      <c r="A35" s="37" t="s">
        <v>98</v>
      </c>
      <c r="B35" s="38" t="s">
        <v>99</v>
      </c>
      <c r="C35" s="35"/>
      <c r="D35" s="35"/>
      <c r="E35" s="35"/>
      <c r="F35" s="34"/>
    </row>
    <row r="37" spans="1:6" ht="15" customHeight="1" x14ac:dyDescent="0.25">
      <c r="A37" s="9" t="s">
        <v>100</v>
      </c>
      <c r="B37" s="9"/>
      <c r="C37" s="9"/>
      <c r="D37" s="9"/>
      <c r="E37" s="9"/>
      <c r="F37" s="9"/>
    </row>
    <row r="38" spans="1:6" ht="57.75" customHeight="1" x14ac:dyDescent="0.25">
      <c r="A38" s="8" t="s">
        <v>101</v>
      </c>
      <c r="B38" s="8"/>
      <c r="C38" s="7" t="s">
        <v>102</v>
      </c>
      <c r="D38" s="7"/>
      <c r="E38" s="7"/>
      <c r="F38" s="7"/>
    </row>
    <row r="39" spans="1:6" ht="57.75" customHeight="1" x14ac:dyDescent="0.25">
      <c r="A39" s="8" t="s">
        <v>103</v>
      </c>
      <c r="B39" s="8"/>
      <c r="C39" s="7" t="s">
        <v>104</v>
      </c>
      <c r="D39" s="7"/>
      <c r="E39" s="7"/>
      <c r="F39" s="7"/>
    </row>
    <row r="40" spans="1:6" ht="57.75" customHeight="1" x14ac:dyDescent="0.25">
      <c r="A40" s="6" t="s">
        <v>105</v>
      </c>
      <c r="B40" s="6"/>
      <c r="C40" s="5" t="s">
        <v>106</v>
      </c>
      <c r="D40" s="5"/>
      <c r="E40" s="5"/>
      <c r="F40" s="5"/>
    </row>
    <row r="41" spans="1:6" ht="57.75" customHeight="1" x14ac:dyDescent="0.25">
      <c r="A41" s="8" t="s">
        <v>107</v>
      </c>
      <c r="B41" s="8"/>
      <c r="C41" s="7" t="s">
        <v>108</v>
      </c>
      <c r="D41" s="7"/>
      <c r="E41" s="7"/>
      <c r="F41" s="7"/>
    </row>
  </sheetData>
  <sheetProtection password="EBB1" sheet="1" formatColumns="0" formatRows="0" sort="0" autoFilter="0"/>
  <mergeCells count="15">
    <mergeCell ref="A40:B40"/>
    <mergeCell ref="C40:F40"/>
    <mergeCell ref="A41:B41"/>
    <mergeCell ref="C41:F41"/>
    <mergeCell ref="B30:F30"/>
    <mergeCell ref="A37:F37"/>
    <mergeCell ref="A38:B38"/>
    <mergeCell ref="C38:F38"/>
    <mergeCell ref="A39:B39"/>
    <mergeCell ref="C39:F39"/>
    <mergeCell ref="A1:F1"/>
    <mergeCell ref="A2:F2"/>
    <mergeCell ref="A3:F3"/>
    <mergeCell ref="A28:F28"/>
    <mergeCell ref="B29:F29"/>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P513"/>
  <sheetViews>
    <sheetView topLeftCell="A173" zoomScaleNormal="100" workbookViewId="0">
      <selection activeCell="B92" sqref="B92"/>
    </sheetView>
  </sheetViews>
  <sheetFormatPr defaultColWidth="8.7109375" defaultRowHeight="15" x14ac:dyDescent="0.25"/>
  <sheetData>
    <row r="2" spans="3:3" ht="37.5" customHeight="1" x14ac:dyDescent="0.25">
      <c r="C2" s="39" t="s">
        <v>109</v>
      </c>
    </row>
    <row r="3" spans="3:3" ht="15" customHeight="1" x14ac:dyDescent="0.25">
      <c r="C3" s="40"/>
    </row>
    <row r="4" spans="3:3" ht="26.25" customHeight="1" x14ac:dyDescent="0.25">
      <c r="C4" s="41" t="s">
        <v>110</v>
      </c>
    </row>
    <row r="5" spans="3:3" ht="15" customHeight="1" x14ac:dyDescent="0.25">
      <c r="C5" s="40"/>
    </row>
    <row r="6" spans="3:3" ht="37.5" customHeight="1" x14ac:dyDescent="0.25">
      <c r="C6" s="39" t="s">
        <v>111</v>
      </c>
    </row>
    <row r="7" spans="3:3" ht="15" customHeight="1" x14ac:dyDescent="0.25">
      <c r="C7" s="40"/>
    </row>
    <row r="8" spans="3:3" ht="21" customHeight="1" x14ac:dyDescent="0.25">
      <c r="C8" s="42" t="s">
        <v>112</v>
      </c>
    </row>
    <row r="9" spans="3:3" ht="15" customHeight="1" x14ac:dyDescent="0.25">
      <c r="C9" s="40"/>
    </row>
    <row r="11" spans="3:3" ht="15" customHeight="1" x14ac:dyDescent="0.25">
      <c r="C11" s="40"/>
    </row>
    <row r="12" spans="3:3" ht="37.5" customHeight="1" x14ac:dyDescent="0.25">
      <c r="C12" s="39" t="s">
        <v>113</v>
      </c>
    </row>
    <row r="13" spans="3:3" ht="15" customHeight="1" x14ac:dyDescent="0.25">
      <c r="C13" s="40"/>
    </row>
    <row r="14" spans="3:3" ht="16.5" customHeight="1" x14ac:dyDescent="0.25">
      <c r="C14" s="43" t="s">
        <v>114</v>
      </c>
    </row>
    <row r="15" spans="3:3" ht="15" customHeight="1" x14ac:dyDescent="0.25">
      <c r="C15" s="44"/>
    </row>
    <row r="16" spans="3:3" ht="16.5" customHeight="1" x14ac:dyDescent="0.25">
      <c r="C16" s="45" t="s">
        <v>115</v>
      </c>
    </row>
    <row r="17" spans="3:4" ht="16.5" customHeight="1" x14ac:dyDescent="0.25">
      <c r="C17" s="45" t="s">
        <v>116</v>
      </c>
    </row>
    <row r="18" spans="3:4" ht="16.5" customHeight="1" x14ac:dyDescent="0.25">
      <c r="C18" s="45" t="s">
        <v>117</v>
      </c>
    </row>
    <row r="19" spans="3:4" ht="16.5" customHeight="1" x14ac:dyDescent="0.25">
      <c r="C19" s="45" t="s">
        <v>118</v>
      </c>
    </row>
    <row r="20" spans="3:4" ht="16.5" customHeight="1" x14ac:dyDescent="0.25">
      <c r="C20" s="45" t="s">
        <v>119</v>
      </c>
    </row>
    <row r="21" spans="3:4" ht="15" customHeight="1" x14ac:dyDescent="0.25">
      <c r="C21" s="40"/>
    </row>
    <row r="22" spans="3:4" ht="16.5" customHeight="1" x14ac:dyDescent="0.25">
      <c r="C22" s="43" t="s">
        <v>120</v>
      </c>
    </row>
    <row r="23" spans="3:4" ht="15.75" customHeight="1" x14ac:dyDescent="0.25">
      <c r="C23" s="40"/>
    </row>
    <row r="24" spans="3:4" ht="50.25" customHeight="1" x14ac:dyDescent="0.25">
      <c r="C24" s="46" t="s">
        <v>121</v>
      </c>
      <c r="D24" s="46" t="s">
        <v>122</v>
      </c>
    </row>
    <row r="25" spans="3:4" ht="17.25" customHeight="1" x14ac:dyDescent="0.25">
      <c r="C25" s="47" t="s">
        <v>123</v>
      </c>
      <c r="D25" s="47" t="s">
        <v>124</v>
      </c>
    </row>
    <row r="26" spans="3:4" ht="83.25" customHeight="1" x14ac:dyDescent="0.25">
      <c r="C26" s="47" t="s">
        <v>125</v>
      </c>
      <c r="D26" s="47" t="s">
        <v>126</v>
      </c>
    </row>
    <row r="27" spans="3:4" ht="66.75" customHeight="1" x14ac:dyDescent="0.25">
      <c r="C27" s="47" t="s">
        <v>127</v>
      </c>
      <c r="D27" s="47" t="s">
        <v>128</v>
      </c>
    </row>
    <row r="28" spans="3:4" ht="50.25" customHeight="1" x14ac:dyDescent="0.25">
      <c r="C28" s="47" t="s">
        <v>129</v>
      </c>
      <c r="D28" s="47" t="s">
        <v>130</v>
      </c>
    </row>
    <row r="29" spans="3:4" ht="66.75" customHeight="1" x14ac:dyDescent="0.25">
      <c r="C29" s="47" t="s">
        <v>131</v>
      </c>
      <c r="D29" s="47" t="s">
        <v>132</v>
      </c>
    </row>
    <row r="30" spans="3:4" ht="66.75" customHeight="1" x14ac:dyDescent="0.25">
      <c r="C30" s="47" t="s">
        <v>133</v>
      </c>
      <c r="D30" s="47" t="s">
        <v>134</v>
      </c>
    </row>
    <row r="31" spans="3:4" ht="33.75" customHeight="1" x14ac:dyDescent="0.25">
      <c r="C31" s="47" t="s">
        <v>135</v>
      </c>
      <c r="D31" s="47" t="s">
        <v>136</v>
      </c>
    </row>
    <row r="32" spans="3:4" ht="15" customHeight="1" x14ac:dyDescent="0.25">
      <c r="C32" s="40"/>
    </row>
    <row r="33" spans="3:3" ht="16.5" customHeight="1" x14ac:dyDescent="0.25">
      <c r="C33" s="43" t="s">
        <v>137</v>
      </c>
    </row>
    <row r="34" spans="3:3" ht="15" customHeight="1" x14ac:dyDescent="0.25">
      <c r="C34" s="40"/>
    </row>
    <row r="36" spans="3:3" ht="15" customHeight="1" x14ac:dyDescent="0.25">
      <c r="C36" s="40"/>
    </row>
    <row r="37" spans="3:3" ht="37.5" customHeight="1" x14ac:dyDescent="0.25">
      <c r="C37" s="39" t="s">
        <v>138</v>
      </c>
    </row>
    <row r="38" spans="3:3" ht="15" customHeight="1" x14ac:dyDescent="0.25">
      <c r="C38" s="40"/>
    </row>
    <row r="39" spans="3:3" ht="16.5" customHeight="1" x14ac:dyDescent="0.25">
      <c r="C39" s="43" t="s">
        <v>139</v>
      </c>
    </row>
    <row r="40" spans="3:3" ht="16.5" customHeight="1" x14ac:dyDescent="0.25">
      <c r="C40" s="43" t="s">
        <v>140</v>
      </c>
    </row>
    <row r="41" spans="3:3" ht="16.5" customHeight="1" x14ac:dyDescent="0.25">
      <c r="C41" s="43" t="s">
        <v>141</v>
      </c>
    </row>
    <row r="42" spans="3:3" ht="16.5" customHeight="1" x14ac:dyDescent="0.25">
      <c r="C42" s="43" t="s">
        <v>140</v>
      </c>
    </row>
    <row r="43" spans="3:3" ht="16.5" customHeight="1" x14ac:dyDescent="0.25">
      <c r="C43" s="43" t="s">
        <v>142</v>
      </c>
    </row>
    <row r="44" spans="3:3" ht="16.5" customHeight="1" x14ac:dyDescent="0.25">
      <c r="C44" s="43" t="s">
        <v>140</v>
      </c>
    </row>
    <row r="45" spans="3:3" ht="16.5" customHeight="1" x14ac:dyDescent="0.25">
      <c r="C45" s="43" t="s">
        <v>143</v>
      </c>
    </row>
    <row r="46" spans="3:3" ht="16.5" customHeight="1" x14ac:dyDescent="0.25">
      <c r="C46" s="43" t="s">
        <v>140</v>
      </c>
    </row>
    <row r="47" spans="3:3" ht="16.5" customHeight="1" x14ac:dyDescent="0.25">
      <c r="C47" s="43" t="s">
        <v>144</v>
      </c>
    </row>
    <row r="48" spans="3:3" ht="16.5" customHeight="1" x14ac:dyDescent="0.25">
      <c r="C48" s="43" t="s">
        <v>140</v>
      </c>
    </row>
    <row r="49" spans="3:3" ht="16.5" customHeight="1" x14ac:dyDescent="0.25">
      <c r="C49" s="43" t="s">
        <v>145</v>
      </c>
    </row>
    <row r="50" spans="3:3" ht="16.5" customHeight="1" x14ac:dyDescent="0.25">
      <c r="C50" s="43" t="s">
        <v>140</v>
      </c>
    </row>
    <row r="51" spans="3:3" ht="16.5" customHeight="1" x14ac:dyDescent="0.25">
      <c r="C51" s="43" t="s">
        <v>146</v>
      </c>
    </row>
    <row r="52" spans="3:3" ht="16.5" customHeight="1" x14ac:dyDescent="0.25">
      <c r="C52" s="43" t="s">
        <v>140</v>
      </c>
    </row>
    <row r="53" spans="3:3" ht="16.5" customHeight="1" x14ac:dyDescent="0.25">
      <c r="C53" s="43" t="s">
        <v>147</v>
      </c>
    </row>
    <row r="54" spans="3:3" ht="16.5" customHeight="1" x14ac:dyDescent="0.25">
      <c r="C54" s="43" t="s">
        <v>140</v>
      </c>
    </row>
    <row r="55" spans="3:3" ht="16.5" customHeight="1" x14ac:dyDescent="0.25">
      <c r="C55" s="43" t="s">
        <v>148</v>
      </c>
    </row>
    <row r="56" spans="3:3" ht="16.5" customHeight="1" x14ac:dyDescent="0.25">
      <c r="C56" s="43" t="s">
        <v>149</v>
      </c>
    </row>
    <row r="57" spans="3:3" ht="16.5" customHeight="1" x14ac:dyDescent="0.25">
      <c r="C57" s="43" t="s">
        <v>150</v>
      </c>
    </row>
    <row r="58" spans="3:3" ht="16.5" customHeight="1" x14ac:dyDescent="0.25">
      <c r="C58" s="43" t="s">
        <v>140</v>
      </c>
    </row>
    <row r="59" spans="3:3" ht="16.5" customHeight="1" x14ac:dyDescent="0.25">
      <c r="C59" s="43" t="s">
        <v>151</v>
      </c>
    </row>
    <row r="60" spans="3:3" ht="15" customHeight="1" x14ac:dyDescent="0.25">
      <c r="C60" s="40"/>
    </row>
    <row r="62" spans="3:3" ht="15" customHeight="1" x14ac:dyDescent="0.25">
      <c r="C62" s="40"/>
    </row>
    <row r="63" spans="3:3" ht="37.5" customHeight="1" x14ac:dyDescent="0.25">
      <c r="C63" s="39" t="s">
        <v>152</v>
      </c>
    </row>
    <row r="64" spans="3:3" ht="15" customHeight="1" x14ac:dyDescent="0.25">
      <c r="C64" s="40"/>
    </row>
    <row r="65" spans="3:3" ht="26.25" customHeight="1" x14ac:dyDescent="0.25">
      <c r="C65" s="41" t="s">
        <v>153</v>
      </c>
    </row>
    <row r="66" spans="3:3" ht="15" customHeight="1" x14ac:dyDescent="0.25">
      <c r="C66" s="40"/>
    </row>
    <row r="67" spans="3:3" ht="16.5" customHeight="1" x14ac:dyDescent="0.25">
      <c r="C67" s="43" t="s">
        <v>154</v>
      </c>
    </row>
    <row r="68" spans="3:3" ht="15" customHeight="1" x14ac:dyDescent="0.25">
      <c r="C68" s="44"/>
    </row>
    <row r="69" spans="3:3" ht="16.5" customHeight="1" x14ac:dyDescent="0.25">
      <c r="C69" s="45" t="s">
        <v>155</v>
      </c>
    </row>
    <row r="70" spans="3:3" ht="16.5" customHeight="1" x14ac:dyDescent="0.25">
      <c r="C70" s="45" t="s">
        <v>156</v>
      </c>
    </row>
    <row r="71" spans="3:3" ht="16.5" customHeight="1" x14ac:dyDescent="0.25">
      <c r="C71" s="45" t="s">
        <v>157</v>
      </c>
    </row>
    <row r="72" spans="3:3" ht="16.5" customHeight="1" x14ac:dyDescent="0.25">
      <c r="C72" s="45" t="s">
        <v>158</v>
      </c>
    </row>
    <row r="73" spans="3:3" ht="16.5" customHeight="1" x14ac:dyDescent="0.25">
      <c r="C73" s="45" t="s">
        <v>159</v>
      </c>
    </row>
    <row r="74" spans="3:3" ht="16.5" customHeight="1" x14ac:dyDescent="0.25">
      <c r="C74" s="45" t="s">
        <v>160</v>
      </c>
    </row>
    <row r="75" spans="3:3" ht="16.5" customHeight="1" x14ac:dyDescent="0.25">
      <c r="C75" s="45" t="s">
        <v>161</v>
      </c>
    </row>
    <row r="76" spans="3:3" ht="16.5" customHeight="1" x14ac:dyDescent="0.25">
      <c r="C76" s="45" t="s">
        <v>162</v>
      </c>
    </row>
    <row r="77" spans="3:3" ht="15" customHeight="1" x14ac:dyDescent="0.25">
      <c r="C77" s="40"/>
    </row>
    <row r="79" spans="3:3" ht="15" customHeight="1" x14ac:dyDescent="0.25">
      <c r="C79" s="40"/>
    </row>
    <row r="80" spans="3:3" ht="26.25" customHeight="1" x14ac:dyDescent="0.25">
      <c r="C80" s="41" t="s">
        <v>163</v>
      </c>
    </row>
    <row r="81" spans="3:3" ht="15" customHeight="1" x14ac:dyDescent="0.25">
      <c r="C81" s="40"/>
    </row>
    <row r="82" spans="3:3" ht="16.5" customHeight="1" x14ac:dyDescent="0.25">
      <c r="C82" s="43" t="s">
        <v>164</v>
      </c>
    </row>
    <row r="83" spans="3:3" ht="15" customHeight="1" x14ac:dyDescent="0.25">
      <c r="C83" s="40"/>
    </row>
    <row r="84" spans="3:3" ht="21" customHeight="1" x14ac:dyDescent="0.25">
      <c r="C84" s="42" t="s">
        <v>124</v>
      </c>
    </row>
    <row r="85" spans="3:3" ht="15" customHeight="1" x14ac:dyDescent="0.25">
      <c r="C85" s="44"/>
    </row>
    <row r="86" spans="3:3" ht="16.5" customHeight="1" x14ac:dyDescent="0.25">
      <c r="C86" s="45" t="s">
        <v>165</v>
      </c>
    </row>
    <row r="87" spans="3:3" ht="16.5" customHeight="1" x14ac:dyDescent="0.25">
      <c r="C87" s="45" t="s">
        <v>166</v>
      </c>
    </row>
    <row r="88" spans="3:3" ht="16.5" customHeight="1" x14ac:dyDescent="0.25">
      <c r="C88" s="45" t="s">
        <v>167</v>
      </c>
    </row>
    <row r="89" spans="3:3" ht="16.5" customHeight="1" x14ac:dyDescent="0.25">
      <c r="C89" s="45" t="s">
        <v>168</v>
      </c>
    </row>
    <row r="90" spans="3:3" ht="16.5" customHeight="1" x14ac:dyDescent="0.25">
      <c r="C90" s="45" t="s">
        <v>169</v>
      </c>
    </row>
    <row r="91" spans="3:3" ht="16.5" customHeight="1" x14ac:dyDescent="0.25">
      <c r="C91" s="45" t="s">
        <v>170</v>
      </c>
    </row>
    <row r="92" spans="3:3" ht="15" customHeight="1" x14ac:dyDescent="0.25">
      <c r="C92" s="40"/>
    </row>
    <row r="93" spans="3:3" ht="21" customHeight="1" x14ac:dyDescent="0.25">
      <c r="C93" s="42" t="s">
        <v>171</v>
      </c>
    </row>
    <row r="94" spans="3:3" ht="15" customHeight="1" x14ac:dyDescent="0.25">
      <c r="C94" s="44"/>
    </row>
    <row r="95" spans="3:3" ht="16.5" customHeight="1" x14ac:dyDescent="0.25">
      <c r="C95" s="45" t="s">
        <v>172</v>
      </c>
    </row>
    <row r="96" spans="3:3" ht="15" customHeight="1" x14ac:dyDescent="0.25">
      <c r="C96" s="40"/>
    </row>
    <row r="97" spans="3:3" ht="21" customHeight="1" x14ac:dyDescent="0.25">
      <c r="C97" s="42" t="s">
        <v>173</v>
      </c>
    </row>
    <row r="98" spans="3:3" ht="15" customHeight="1" x14ac:dyDescent="0.25">
      <c r="C98" s="44"/>
    </row>
    <row r="99" spans="3:3" ht="16.5" customHeight="1" x14ac:dyDescent="0.25">
      <c r="C99" s="45" t="s">
        <v>174</v>
      </c>
    </row>
    <row r="100" spans="3:3" ht="16.5" customHeight="1" x14ac:dyDescent="0.25">
      <c r="C100" s="45" t="s">
        <v>175</v>
      </c>
    </row>
    <row r="101" spans="3:3" ht="16.5" customHeight="1" x14ac:dyDescent="0.25">
      <c r="C101" s="45" t="s">
        <v>176</v>
      </c>
    </row>
    <row r="102" spans="3:3" ht="16.5" customHeight="1" x14ac:dyDescent="0.25">
      <c r="C102" s="45" t="s">
        <v>177</v>
      </c>
    </row>
    <row r="103" spans="3:3" ht="15" customHeight="1" x14ac:dyDescent="0.25">
      <c r="C103" s="40"/>
    </row>
    <row r="104" spans="3:3" ht="21" customHeight="1" x14ac:dyDescent="0.25">
      <c r="C104" s="42" t="s">
        <v>178</v>
      </c>
    </row>
    <row r="105" spans="3:3" ht="15" customHeight="1" x14ac:dyDescent="0.25">
      <c r="C105" s="44"/>
    </row>
    <row r="106" spans="3:3" ht="16.5" customHeight="1" x14ac:dyDescent="0.25">
      <c r="C106" s="45" t="s">
        <v>179</v>
      </c>
    </row>
    <row r="107" spans="3:3" ht="16.5" customHeight="1" x14ac:dyDescent="0.25">
      <c r="C107" s="45" t="s">
        <v>180</v>
      </c>
    </row>
    <row r="108" spans="3:3" ht="15" customHeight="1" x14ac:dyDescent="0.25">
      <c r="C108" s="40"/>
    </row>
    <row r="109" spans="3:3" ht="21" customHeight="1" x14ac:dyDescent="0.25">
      <c r="C109" s="42" t="s">
        <v>181</v>
      </c>
    </row>
    <row r="110" spans="3:3" ht="15" customHeight="1" x14ac:dyDescent="0.25">
      <c r="C110" s="44"/>
    </row>
    <row r="111" spans="3:3" ht="16.5" customHeight="1" x14ac:dyDescent="0.25">
      <c r="C111" s="45" t="s">
        <v>182</v>
      </c>
    </row>
    <row r="112" spans="3:3" ht="16.5" customHeight="1" x14ac:dyDescent="0.25">
      <c r="C112" s="45" t="s">
        <v>183</v>
      </c>
    </row>
    <row r="113" spans="3:3" ht="15" customHeight="1" x14ac:dyDescent="0.25">
      <c r="C113" s="40"/>
    </row>
    <row r="114" spans="3:3" ht="15" customHeight="1" x14ac:dyDescent="0.25">
      <c r="C114" s="48" t="s">
        <v>184</v>
      </c>
    </row>
    <row r="115" spans="3:3" ht="15" customHeight="1" x14ac:dyDescent="0.25">
      <c r="C115" s="40"/>
    </row>
    <row r="117" spans="3:3" ht="15" customHeight="1" x14ac:dyDescent="0.25">
      <c r="C117" s="40"/>
    </row>
    <row r="118" spans="3:3" ht="26.25" customHeight="1" x14ac:dyDescent="0.25">
      <c r="C118" s="41" t="s">
        <v>185</v>
      </c>
    </row>
    <row r="119" spans="3:3" ht="15" customHeight="1" x14ac:dyDescent="0.25">
      <c r="C119" s="40"/>
    </row>
    <row r="120" spans="3:3" ht="21" customHeight="1" x14ac:dyDescent="0.25">
      <c r="C120" s="42" t="s">
        <v>186</v>
      </c>
    </row>
    <row r="121" spans="3:3" ht="15" customHeight="1" x14ac:dyDescent="0.25">
      <c r="C121" s="44"/>
    </row>
    <row r="122" spans="3:3" ht="16.5" customHeight="1" x14ac:dyDescent="0.25">
      <c r="C122" s="45" t="s">
        <v>187</v>
      </c>
    </row>
    <row r="123" spans="3:3" ht="16.5" customHeight="1" x14ac:dyDescent="0.25">
      <c r="C123" s="45" t="s">
        <v>188</v>
      </c>
    </row>
    <row r="124" spans="3:3" ht="16.5" customHeight="1" x14ac:dyDescent="0.25">
      <c r="C124" s="45" t="s">
        <v>189</v>
      </c>
    </row>
    <row r="125" spans="3:3" ht="16.5" customHeight="1" x14ac:dyDescent="0.25">
      <c r="C125" s="45" t="s">
        <v>190</v>
      </c>
    </row>
    <row r="126" spans="3:3" ht="16.5" customHeight="1" x14ac:dyDescent="0.25">
      <c r="C126" s="45" t="s">
        <v>191</v>
      </c>
    </row>
    <row r="127" spans="3:3" ht="16.5" customHeight="1" x14ac:dyDescent="0.25">
      <c r="C127" s="45" t="s">
        <v>192</v>
      </c>
    </row>
    <row r="128" spans="3:3" ht="15" customHeight="1" x14ac:dyDescent="0.25">
      <c r="C128" s="40"/>
    </row>
    <row r="129" spans="3:3" ht="21" customHeight="1" x14ac:dyDescent="0.25">
      <c r="C129" s="42" t="s">
        <v>193</v>
      </c>
    </row>
    <row r="130" spans="3:3" ht="15" customHeight="1" x14ac:dyDescent="0.25">
      <c r="C130" s="44"/>
    </row>
    <row r="131" spans="3:3" ht="16.5" customHeight="1" x14ac:dyDescent="0.25">
      <c r="C131" s="45" t="s">
        <v>194</v>
      </c>
    </row>
    <row r="132" spans="3:3" ht="16.5" customHeight="1" x14ac:dyDescent="0.25">
      <c r="C132" s="45" t="s">
        <v>195</v>
      </c>
    </row>
    <row r="133" spans="3:3" ht="16.5" customHeight="1" x14ac:dyDescent="0.25">
      <c r="C133" s="45" t="s">
        <v>196</v>
      </c>
    </row>
    <row r="134" spans="3:3" ht="16.5" customHeight="1" x14ac:dyDescent="0.25">
      <c r="C134" s="45" t="s">
        <v>197</v>
      </c>
    </row>
    <row r="135" spans="3:3" ht="16.5" customHeight="1" x14ac:dyDescent="0.25">
      <c r="C135" s="45" t="s">
        <v>198</v>
      </c>
    </row>
    <row r="136" spans="3:3" ht="15" customHeight="1" x14ac:dyDescent="0.25">
      <c r="C136" s="40"/>
    </row>
    <row r="137" spans="3:3" ht="21" customHeight="1" x14ac:dyDescent="0.25">
      <c r="C137" s="42" t="s">
        <v>199</v>
      </c>
    </row>
    <row r="138" spans="3:3" ht="15" customHeight="1" x14ac:dyDescent="0.25">
      <c r="C138" s="44"/>
    </row>
    <row r="139" spans="3:3" ht="16.5" customHeight="1" x14ac:dyDescent="0.25">
      <c r="C139" s="45" t="s">
        <v>200</v>
      </c>
    </row>
    <row r="140" spans="3:3" ht="16.5" customHeight="1" x14ac:dyDescent="0.25">
      <c r="C140" s="45" t="s">
        <v>201</v>
      </c>
    </row>
    <row r="141" spans="3:3" ht="16.5" customHeight="1" x14ac:dyDescent="0.25">
      <c r="C141" s="45" t="s">
        <v>202</v>
      </c>
    </row>
    <row r="142" spans="3:3" ht="16.5" customHeight="1" x14ac:dyDescent="0.25">
      <c r="C142" s="45" t="s">
        <v>203</v>
      </c>
    </row>
    <row r="143" spans="3:3" ht="16.5" customHeight="1" x14ac:dyDescent="0.25">
      <c r="C143" s="45" t="s">
        <v>204</v>
      </c>
    </row>
    <row r="144" spans="3:3" ht="16.5" customHeight="1" x14ac:dyDescent="0.25">
      <c r="C144" s="45" t="s">
        <v>205</v>
      </c>
    </row>
    <row r="145" spans="3:3" ht="16.5" customHeight="1" x14ac:dyDescent="0.25">
      <c r="C145" s="45" t="s">
        <v>206</v>
      </c>
    </row>
    <row r="146" spans="3:3" ht="15" customHeight="1" x14ac:dyDescent="0.25">
      <c r="C146" s="40"/>
    </row>
    <row r="147" spans="3:3" ht="16.5" customHeight="1" x14ac:dyDescent="0.25">
      <c r="C147" s="49" t="s">
        <v>207</v>
      </c>
    </row>
    <row r="148" spans="3:3" ht="15" customHeight="1" x14ac:dyDescent="0.25">
      <c r="C148" s="40"/>
    </row>
    <row r="150" spans="3:3" ht="15" customHeight="1" x14ac:dyDescent="0.25">
      <c r="C150" s="40"/>
    </row>
    <row r="151" spans="3:3" ht="37.5" customHeight="1" x14ac:dyDescent="0.25">
      <c r="C151" s="39" t="s">
        <v>208</v>
      </c>
    </row>
    <row r="152" spans="3:3" ht="15" customHeight="1" x14ac:dyDescent="0.25">
      <c r="C152" s="40"/>
    </row>
    <row r="153" spans="3:3" ht="26.25" customHeight="1" x14ac:dyDescent="0.25">
      <c r="C153" s="41" t="s">
        <v>209</v>
      </c>
    </row>
    <row r="154" spans="3:3" ht="15" customHeight="1" x14ac:dyDescent="0.25">
      <c r="C154" s="40"/>
    </row>
    <row r="155" spans="3:3" ht="16.5" customHeight="1" x14ac:dyDescent="0.25">
      <c r="C155" s="43" t="s">
        <v>210</v>
      </c>
    </row>
    <row r="156" spans="3:3" ht="15" customHeight="1" x14ac:dyDescent="0.25">
      <c r="C156" s="44"/>
    </row>
    <row r="157" spans="3:3" ht="16.5" customHeight="1" x14ac:dyDescent="0.25">
      <c r="C157" s="45" t="s">
        <v>211</v>
      </c>
    </row>
    <row r="158" spans="3:3" ht="16.5" customHeight="1" x14ac:dyDescent="0.25">
      <c r="C158" s="45" t="s">
        <v>212</v>
      </c>
    </row>
    <row r="159" spans="3:3" ht="16.5" customHeight="1" x14ac:dyDescent="0.25">
      <c r="C159" s="45" t="s">
        <v>213</v>
      </c>
    </row>
    <row r="160" spans="3:3" ht="16.5" customHeight="1" x14ac:dyDescent="0.25">
      <c r="C160" s="45" t="s">
        <v>214</v>
      </c>
    </row>
    <row r="161" spans="3:3" ht="16.5" customHeight="1" x14ac:dyDescent="0.25">
      <c r="C161" s="45" t="s">
        <v>215</v>
      </c>
    </row>
    <row r="162" spans="3:3" ht="15" customHeight="1" x14ac:dyDescent="0.25">
      <c r="C162" s="40"/>
    </row>
    <row r="163" spans="3:3" ht="16.5" customHeight="1" x14ac:dyDescent="0.25">
      <c r="C163" s="49" t="s">
        <v>207</v>
      </c>
    </row>
    <row r="164" spans="3:3" ht="15" customHeight="1" x14ac:dyDescent="0.25">
      <c r="C164" s="40"/>
    </row>
    <row r="166" spans="3:3" ht="15" customHeight="1" x14ac:dyDescent="0.25">
      <c r="C166" s="40"/>
    </row>
    <row r="167" spans="3:3" ht="37.5" customHeight="1" x14ac:dyDescent="0.25">
      <c r="C167" s="39" t="s">
        <v>216</v>
      </c>
    </row>
    <row r="168" spans="3:3" ht="15" customHeight="1" x14ac:dyDescent="0.25">
      <c r="C168" s="40"/>
    </row>
    <row r="169" spans="3:3" ht="26.25" customHeight="1" x14ac:dyDescent="0.25">
      <c r="C169" s="41" t="s">
        <v>217</v>
      </c>
    </row>
    <row r="170" spans="3:3" ht="15" customHeight="1" x14ac:dyDescent="0.25">
      <c r="C170" s="40"/>
    </row>
    <row r="171" spans="3:3" ht="16.5" customHeight="1" x14ac:dyDescent="0.25">
      <c r="C171" s="43" t="s">
        <v>218</v>
      </c>
    </row>
    <row r="172" spans="3:3" ht="15" customHeight="1" x14ac:dyDescent="0.25">
      <c r="C172" s="40"/>
    </row>
    <row r="173" spans="3:3" ht="16.5" customHeight="1" x14ac:dyDescent="0.25">
      <c r="C173" s="43" t="s">
        <v>219</v>
      </c>
    </row>
    <row r="174" spans="3:3" ht="16.5" customHeight="1" x14ac:dyDescent="0.25">
      <c r="C174" s="43" t="s">
        <v>220</v>
      </c>
    </row>
    <row r="175" spans="3:3" ht="16.5" customHeight="1" x14ac:dyDescent="0.25">
      <c r="C175" s="43" t="s">
        <v>221</v>
      </c>
    </row>
    <row r="176" spans="3:3" ht="16.5" customHeight="1" x14ac:dyDescent="0.25">
      <c r="C176" s="43" t="s">
        <v>222</v>
      </c>
    </row>
    <row r="177" spans="3:3" ht="16.5" customHeight="1" x14ac:dyDescent="0.25">
      <c r="C177" s="43" t="s">
        <v>223</v>
      </c>
    </row>
    <row r="178" spans="3:3" ht="16.5" customHeight="1" x14ac:dyDescent="0.25">
      <c r="C178" s="43" t="s">
        <v>224</v>
      </c>
    </row>
    <row r="179" spans="3:3" ht="16.5" customHeight="1" x14ac:dyDescent="0.25">
      <c r="C179" s="43" t="s">
        <v>225</v>
      </c>
    </row>
    <row r="180" spans="3:3" ht="15" customHeight="1" x14ac:dyDescent="0.25">
      <c r="C180" s="40"/>
    </row>
    <row r="182" spans="3:3" ht="15" customHeight="1" x14ac:dyDescent="0.25">
      <c r="C182" s="40"/>
    </row>
    <row r="183" spans="3:3" ht="26.25" customHeight="1" x14ac:dyDescent="0.25">
      <c r="C183" s="41" t="s">
        <v>226</v>
      </c>
    </row>
    <row r="184" spans="3:3" ht="15" customHeight="1" x14ac:dyDescent="0.25">
      <c r="C184" s="40"/>
    </row>
    <row r="185" spans="3:3" ht="16.5" customHeight="1" x14ac:dyDescent="0.25">
      <c r="C185" s="43" t="s">
        <v>227</v>
      </c>
    </row>
    <row r="186" spans="3:3" ht="15" customHeight="1" x14ac:dyDescent="0.25">
      <c r="C186" s="40"/>
    </row>
    <row r="187" spans="3:3" ht="16.5" customHeight="1" x14ac:dyDescent="0.25">
      <c r="C187" s="43" t="s">
        <v>228</v>
      </c>
    </row>
    <row r="188" spans="3:3" ht="16.5" customHeight="1" x14ac:dyDescent="0.25">
      <c r="C188" s="43" t="s">
        <v>229</v>
      </c>
    </row>
    <row r="189" spans="3:3" ht="16.5" customHeight="1" x14ac:dyDescent="0.25">
      <c r="C189" s="43" t="s">
        <v>230</v>
      </c>
    </row>
    <row r="190" spans="3:3" ht="16.5" customHeight="1" x14ac:dyDescent="0.25">
      <c r="C190" s="43" t="s">
        <v>231</v>
      </c>
    </row>
    <row r="191" spans="3:3" ht="16.5" customHeight="1" x14ac:dyDescent="0.25">
      <c r="C191" s="43" t="s">
        <v>232</v>
      </c>
    </row>
    <row r="192" spans="3:3" ht="16.5" customHeight="1" x14ac:dyDescent="0.25">
      <c r="C192" s="43" t="s">
        <v>233</v>
      </c>
    </row>
    <row r="193" spans="3:3" ht="15" customHeight="1" x14ac:dyDescent="0.25">
      <c r="C193" s="40"/>
    </row>
    <row r="194" spans="3:3" ht="16.5" customHeight="1" x14ac:dyDescent="0.25">
      <c r="C194" s="43" t="s">
        <v>234</v>
      </c>
    </row>
    <row r="195" spans="3:3" ht="15" customHeight="1" x14ac:dyDescent="0.25">
      <c r="C195" s="40"/>
    </row>
    <row r="196" spans="3:3" ht="16.5" customHeight="1" x14ac:dyDescent="0.25">
      <c r="C196" s="43" t="s">
        <v>235</v>
      </c>
    </row>
    <row r="197" spans="3:3" ht="16.5" customHeight="1" x14ac:dyDescent="0.25">
      <c r="C197" s="43" t="s">
        <v>236</v>
      </c>
    </row>
    <row r="198" spans="3:3" ht="16.5" customHeight="1" x14ac:dyDescent="0.25">
      <c r="C198" s="43" t="s">
        <v>237</v>
      </c>
    </row>
    <row r="199" spans="3:3" ht="15" customHeight="1" x14ac:dyDescent="0.25">
      <c r="C199" s="40"/>
    </row>
    <row r="200" spans="3:3" ht="16.5" customHeight="1" x14ac:dyDescent="0.25">
      <c r="C200" s="43" t="s">
        <v>238</v>
      </c>
    </row>
    <row r="201" spans="3:3" ht="15" customHeight="1" x14ac:dyDescent="0.25">
      <c r="C201" s="40"/>
    </row>
    <row r="202" spans="3:3" ht="16.5" customHeight="1" x14ac:dyDescent="0.25">
      <c r="C202" s="43" t="s">
        <v>239</v>
      </c>
    </row>
    <row r="203" spans="3:3" ht="16.5" customHeight="1" x14ac:dyDescent="0.25">
      <c r="C203" s="43" t="s">
        <v>236</v>
      </c>
    </row>
    <row r="204" spans="3:3" ht="16.5" customHeight="1" x14ac:dyDescent="0.25">
      <c r="C204" s="43" t="s">
        <v>240</v>
      </c>
    </row>
    <row r="205" spans="3:3" ht="15" customHeight="1" x14ac:dyDescent="0.25">
      <c r="C205" s="40"/>
    </row>
    <row r="206" spans="3:3" ht="16.5" customHeight="1" x14ac:dyDescent="0.25">
      <c r="C206" s="43" t="s">
        <v>241</v>
      </c>
    </row>
    <row r="207" spans="3:3" ht="15" customHeight="1" x14ac:dyDescent="0.25">
      <c r="C207" s="40"/>
    </row>
    <row r="208" spans="3:3" ht="16.5" customHeight="1" x14ac:dyDescent="0.25">
      <c r="C208" s="43" t="s">
        <v>242</v>
      </c>
    </row>
    <row r="209" spans="3:3" ht="15" customHeight="1" x14ac:dyDescent="0.25">
      <c r="C209" s="40"/>
    </row>
    <row r="211" spans="3:3" ht="15" customHeight="1" x14ac:dyDescent="0.25">
      <c r="C211" s="40"/>
    </row>
    <row r="212" spans="3:3" ht="37.5" customHeight="1" x14ac:dyDescent="0.25">
      <c r="C212" s="39" t="s">
        <v>243</v>
      </c>
    </row>
    <row r="213" spans="3:3" ht="15" customHeight="1" x14ac:dyDescent="0.25">
      <c r="C213" s="40"/>
    </row>
    <row r="214" spans="3:3" ht="26.25" customHeight="1" x14ac:dyDescent="0.25">
      <c r="C214" s="41" t="s">
        <v>244</v>
      </c>
    </row>
    <row r="215" spans="3:3" ht="15" customHeight="1" x14ac:dyDescent="0.25">
      <c r="C215" s="40"/>
    </row>
    <row r="216" spans="3:3" ht="16.5" customHeight="1" x14ac:dyDescent="0.25">
      <c r="C216" s="43" t="s">
        <v>245</v>
      </c>
    </row>
    <row r="217" spans="3:3" ht="15" customHeight="1" x14ac:dyDescent="0.25">
      <c r="C217" s="44"/>
    </row>
    <row r="218" spans="3:3" ht="16.5" customHeight="1" x14ac:dyDescent="0.25">
      <c r="C218" s="45" t="s">
        <v>246</v>
      </c>
    </row>
    <row r="219" spans="3:3" ht="16.5" customHeight="1" x14ac:dyDescent="0.25">
      <c r="C219" s="45" t="s">
        <v>247</v>
      </c>
    </row>
    <row r="220" spans="3:3" ht="16.5" customHeight="1" x14ac:dyDescent="0.25">
      <c r="C220" s="45" t="s">
        <v>248</v>
      </c>
    </row>
    <row r="221" spans="3:3" ht="15" customHeight="1" x14ac:dyDescent="0.25">
      <c r="C221" s="40"/>
    </row>
    <row r="223" spans="3:3" ht="15" customHeight="1" x14ac:dyDescent="0.25">
      <c r="C223" s="40"/>
    </row>
    <row r="224" spans="3:3" ht="26.25" customHeight="1" x14ac:dyDescent="0.25">
      <c r="C224" s="41" t="s">
        <v>249</v>
      </c>
    </row>
    <row r="225" spans="3:3" ht="15" customHeight="1" x14ac:dyDescent="0.25">
      <c r="C225" s="40"/>
    </row>
    <row r="226" spans="3:3" ht="16.5" customHeight="1" x14ac:dyDescent="0.25">
      <c r="C226" s="43" t="s">
        <v>245</v>
      </c>
    </row>
    <row r="227" spans="3:3" ht="15" customHeight="1" x14ac:dyDescent="0.25">
      <c r="C227" s="44"/>
    </row>
    <row r="228" spans="3:3" ht="16.5" customHeight="1" x14ac:dyDescent="0.25">
      <c r="C228" s="45" t="s">
        <v>250</v>
      </c>
    </row>
    <row r="229" spans="3:3" ht="16.5" customHeight="1" x14ac:dyDescent="0.25">
      <c r="C229" s="45" t="s">
        <v>251</v>
      </c>
    </row>
    <row r="230" spans="3:3" ht="16.5" customHeight="1" x14ac:dyDescent="0.25">
      <c r="C230" s="45" t="s">
        <v>252</v>
      </c>
    </row>
    <row r="231" spans="3:3" ht="16.5" customHeight="1" x14ac:dyDescent="0.25">
      <c r="C231" s="45" t="s">
        <v>253</v>
      </c>
    </row>
    <row r="232" spans="3:3" ht="16.5" customHeight="1" x14ac:dyDescent="0.25">
      <c r="C232" s="45" t="s">
        <v>254</v>
      </c>
    </row>
    <row r="233" spans="3:3" ht="15" customHeight="1" x14ac:dyDescent="0.25">
      <c r="C233" s="40"/>
    </row>
    <row r="235" spans="3:3" ht="15" customHeight="1" x14ac:dyDescent="0.25">
      <c r="C235" s="40"/>
    </row>
    <row r="236" spans="3:3" ht="26.25" customHeight="1" x14ac:dyDescent="0.25">
      <c r="C236" s="41" t="s">
        <v>255</v>
      </c>
    </row>
    <row r="237" spans="3:3" ht="15" customHeight="1" x14ac:dyDescent="0.25">
      <c r="C237" s="40"/>
    </row>
    <row r="238" spans="3:3" ht="16.5" customHeight="1" x14ac:dyDescent="0.25">
      <c r="C238" s="43" t="s">
        <v>245</v>
      </c>
    </row>
    <row r="239" spans="3:3" ht="15" customHeight="1" x14ac:dyDescent="0.25">
      <c r="C239" s="44"/>
    </row>
    <row r="240" spans="3:3" ht="16.5" customHeight="1" x14ac:dyDescent="0.25">
      <c r="C240" s="45" t="s">
        <v>256</v>
      </c>
    </row>
    <row r="241" spans="3:3" ht="16.5" customHeight="1" x14ac:dyDescent="0.25">
      <c r="C241" s="45" t="s">
        <v>257</v>
      </c>
    </row>
    <row r="242" spans="3:3" ht="16.5" customHeight="1" x14ac:dyDescent="0.25">
      <c r="C242" s="45" t="s">
        <v>258</v>
      </c>
    </row>
    <row r="243" spans="3:3" ht="15" customHeight="1" x14ac:dyDescent="0.25">
      <c r="C243" s="40"/>
    </row>
    <row r="245" spans="3:3" ht="15" customHeight="1" x14ac:dyDescent="0.25">
      <c r="C245" s="40"/>
    </row>
    <row r="246" spans="3:3" ht="26.25" customHeight="1" x14ac:dyDescent="0.25">
      <c r="C246" s="41" t="s">
        <v>259</v>
      </c>
    </row>
    <row r="247" spans="3:3" ht="15" customHeight="1" x14ac:dyDescent="0.25">
      <c r="C247" s="40"/>
    </row>
    <row r="248" spans="3:3" ht="16.5" customHeight="1" x14ac:dyDescent="0.25">
      <c r="C248" s="43" t="s">
        <v>245</v>
      </c>
    </row>
    <row r="249" spans="3:3" ht="15" customHeight="1" x14ac:dyDescent="0.25">
      <c r="C249" s="44"/>
    </row>
    <row r="250" spans="3:3" ht="16.5" customHeight="1" x14ac:dyDescent="0.25">
      <c r="C250" s="45" t="s">
        <v>260</v>
      </c>
    </row>
    <row r="251" spans="3:3" ht="16.5" customHeight="1" x14ac:dyDescent="0.25">
      <c r="C251" s="45" t="s">
        <v>261</v>
      </c>
    </row>
    <row r="252" spans="3:3" ht="16.5" customHeight="1" x14ac:dyDescent="0.25">
      <c r="C252" s="45" t="s">
        <v>262</v>
      </c>
    </row>
    <row r="253" spans="3:3" ht="15" customHeight="1" x14ac:dyDescent="0.25">
      <c r="C253" s="40"/>
    </row>
    <row r="255" spans="3:3" ht="15" customHeight="1" x14ac:dyDescent="0.25">
      <c r="C255" s="40"/>
    </row>
    <row r="256" spans="3:3" ht="26.25" customHeight="1" x14ac:dyDescent="0.25">
      <c r="C256" s="41" t="s">
        <v>263</v>
      </c>
    </row>
    <row r="257" spans="3:3" ht="15" customHeight="1" x14ac:dyDescent="0.25">
      <c r="C257" s="40"/>
    </row>
    <row r="258" spans="3:3" ht="16.5" customHeight="1" x14ac:dyDescent="0.25">
      <c r="C258" s="43" t="s">
        <v>245</v>
      </c>
    </row>
    <row r="259" spans="3:3" ht="15" customHeight="1" x14ac:dyDescent="0.25">
      <c r="C259" s="44"/>
    </row>
    <row r="260" spans="3:3" ht="16.5" customHeight="1" x14ac:dyDescent="0.25">
      <c r="C260" s="45" t="s">
        <v>264</v>
      </c>
    </row>
    <row r="261" spans="3:3" ht="16.5" customHeight="1" x14ac:dyDescent="0.25">
      <c r="C261" s="45" t="s">
        <v>265</v>
      </c>
    </row>
    <row r="262" spans="3:3" ht="16.5" customHeight="1" x14ac:dyDescent="0.25">
      <c r="C262" s="45" t="s">
        <v>266</v>
      </c>
    </row>
    <row r="263" spans="3:3" ht="15" customHeight="1" x14ac:dyDescent="0.25">
      <c r="C263" s="40"/>
    </row>
    <row r="264" spans="3:3" ht="16.5" customHeight="1" x14ac:dyDescent="0.25">
      <c r="C264" s="49" t="s">
        <v>267</v>
      </c>
    </row>
    <row r="265" spans="3:3" ht="15" customHeight="1" x14ac:dyDescent="0.25">
      <c r="C265" s="40"/>
    </row>
    <row r="267" spans="3:3" ht="15" customHeight="1" x14ac:dyDescent="0.25">
      <c r="C267" s="40"/>
    </row>
    <row r="268" spans="3:3" ht="37.5" customHeight="1" x14ac:dyDescent="0.25">
      <c r="C268" s="39" t="s">
        <v>268</v>
      </c>
    </row>
    <row r="269" spans="3:3" ht="15" customHeight="1" x14ac:dyDescent="0.25">
      <c r="C269" s="40"/>
    </row>
    <row r="270" spans="3:3" ht="26.25" customHeight="1" x14ac:dyDescent="0.25">
      <c r="C270" s="41" t="s">
        <v>269</v>
      </c>
    </row>
    <row r="271" spans="3:3" ht="15" customHeight="1" x14ac:dyDescent="0.25">
      <c r="C271" s="40"/>
    </row>
    <row r="272" spans="3:3" ht="16.5" customHeight="1" x14ac:dyDescent="0.25">
      <c r="C272" s="43" t="s">
        <v>270</v>
      </c>
    </row>
    <row r="273" spans="3:3" ht="15" customHeight="1" x14ac:dyDescent="0.25">
      <c r="C273" s="40"/>
    </row>
    <row r="274" spans="3:3" ht="16.5" customHeight="1" x14ac:dyDescent="0.25">
      <c r="C274" s="43" t="s">
        <v>271</v>
      </c>
    </row>
    <row r="275" spans="3:3" ht="15" customHeight="1" x14ac:dyDescent="0.25">
      <c r="C275" s="40"/>
    </row>
    <row r="277" spans="3:3" ht="15" customHeight="1" x14ac:dyDescent="0.25">
      <c r="C277" s="40"/>
    </row>
    <row r="278" spans="3:3" ht="26.25" customHeight="1" x14ac:dyDescent="0.25">
      <c r="C278" s="41" t="s">
        <v>272</v>
      </c>
    </row>
    <row r="279" spans="3:3" ht="15" customHeight="1" x14ac:dyDescent="0.25">
      <c r="C279" s="40"/>
    </row>
    <row r="280" spans="3:3" ht="16.5" customHeight="1" x14ac:dyDescent="0.25">
      <c r="C280" s="43" t="s">
        <v>273</v>
      </c>
    </row>
    <row r="281" spans="3:3" ht="15" customHeight="1" x14ac:dyDescent="0.25">
      <c r="C281" s="40"/>
    </row>
    <row r="282" spans="3:3" ht="16.5" customHeight="1" x14ac:dyDescent="0.25">
      <c r="C282" s="43" t="s">
        <v>274</v>
      </c>
    </row>
    <row r="283" spans="3:3" ht="15" customHeight="1" x14ac:dyDescent="0.25">
      <c r="C283" s="44"/>
    </row>
    <row r="284" spans="3:3" ht="16.5" customHeight="1" x14ac:dyDescent="0.25">
      <c r="C284" s="45" t="s">
        <v>275</v>
      </c>
    </row>
    <row r="285" spans="3:3" ht="16.5" customHeight="1" x14ac:dyDescent="0.25">
      <c r="C285" s="45" t="s">
        <v>276</v>
      </c>
    </row>
    <row r="286" spans="3:3" ht="16.5" customHeight="1" x14ac:dyDescent="0.25">
      <c r="C286" s="45" t="s">
        <v>277</v>
      </c>
    </row>
    <row r="287" spans="3:3" ht="15" customHeight="1" x14ac:dyDescent="0.25">
      <c r="C287" s="40"/>
    </row>
    <row r="289" spans="3:3" ht="15" customHeight="1" x14ac:dyDescent="0.25">
      <c r="C289" s="40"/>
    </row>
    <row r="290" spans="3:3" ht="26.25" customHeight="1" x14ac:dyDescent="0.25">
      <c r="C290" s="41" t="s">
        <v>278</v>
      </c>
    </row>
    <row r="291" spans="3:3" ht="15" customHeight="1" x14ac:dyDescent="0.25">
      <c r="C291" s="40"/>
    </row>
    <row r="292" spans="3:3" ht="16.5" customHeight="1" x14ac:dyDescent="0.25">
      <c r="C292" s="43" t="s">
        <v>279</v>
      </c>
    </row>
    <row r="293" spans="3:3" ht="15" customHeight="1" x14ac:dyDescent="0.25">
      <c r="C293" s="40"/>
    </row>
    <row r="294" spans="3:3" ht="16.5" customHeight="1" x14ac:dyDescent="0.25">
      <c r="C294" s="43" t="s">
        <v>280</v>
      </c>
    </row>
    <row r="295" spans="3:3" ht="15" customHeight="1" x14ac:dyDescent="0.25">
      <c r="C295" s="40"/>
    </row>
    <row r="297" spans="3:3" ht="15" customHeight="1" x14ac:dyDescent="0.25">
      <c r="C297" s="40"/>
    </row>
    <row r="298" spans="3:3" ht="26.25" customHeight="1" x14ac:dyDescent="0.25">
      <c r="C298" s="41" t="s">
        <v>281</v>
      </c>
    </row>
    <row r="299" spans="3:3" ht="15" customHeight="1" x14ac:dyDescent="0.25">
      <c r="C299" s="40"/>
    </row>
    <row r="300" spans="3:3" ht="16.5" customHeight="1" x14ac:dyDescent="0.25">
      <c r="C300" s="43" t="s">
        <v>282</v>
      </c>
    </row>
    <row r="301" spans="3:3" ht="15" customHeight="1" x14ac:dyDescent="0.25">
      <c r="C301" s="40"/>
    </row>
    <row r="302" spans="3:3" ht="16.5" customHeight="1" x14ac:dyDescent="0.25">
      <c r="C302" s="43" t="s">
        <v>283</v>
      </c>
    </row>
    <row r="303" spans="3:3" ht="15" customHeight="1" x14ac:dyDescent="0.25">
      <c r="C303" s="40"/>
    </row>
    <row r="305" spans="3:3" ht="15" customHeight="1" x14ac:dyDescent="0.25">
      <c r="C305" s="40"/>
    </row>
    <row r="306" spans="3:3" ht="26.25" customHeight="1" x14ac:dyDescent="0.25">
      <c r="C306" s="41" t="s">
        <v>148</v>
      </c>
    </row>
    <row r="307" spans="3:3" ht="15" customHeight="1" x14ac:dyDescent="0.25">
      <c r="C307" s="40"/>
    </row>
    <row r="308" spans="3:3" ht="16.5" customHeight="1" x14ac:dyDescent="0.25">
      <c r="C308" s="43" t="s">
        <v>284</v>
      </c>
    </row>
    <row r="309" spans="3:3" ht="15" customHeight="1" x14ac:dyDescent="0.25">
      <c r="C309" s="40"/>
    </row>
    <row r="310" spans="3:3" ht="16.5" customHeight="1" x14ac:dyDescent="0.25">
      <c r="C310" s="43" t="s">
        <v>285</v>
      </c>
    </row>
    <row r="311" spans="3:3" ht="15" customHeight="1" x14ac:dyDescent="0.25">
      <c r="C311" s="40"/>
    </row>
    <row r="313" spans="3:3" ht="15" customHeight="1" x14ac:dyDescent="0.25">
      <c r="C313" s="40"/>
    </row>
    <row r="314" spans="3:3" ht="26.25" customHeight="1" x14ac:dyDescent="0.25">
      <c r="C314" s="41" t="s">
        <v>149</v>
      </c>
    </row>
    <row r="315" spans="3:3" ht="15" customHeight="1" x14ac:dyDescent="0.25">
      <c r="C315" s="40"/>
    </row>
    <row r="316" spans="3:3" ht="16.5" customHeight="1" x14ac:dyDescent="0.25">
      <c r="C316" s="43" t="s">
        <v>286</v>
      </c>
    </row>
    <row r="317" spans="3:3" ht="15" customHeight="1" x14ac:dyDescent="0.25">
      <c r="C317" s="40"/>
    </row>
    <row r="318" spans="3:3" ht="16.5" customHeight="1" x14ac:dyDescent="0.25">
      <c r="C318" s="43" t="s">
        <v>287</v>
      </c>
    </row>
    <row r="319" spans="3:3" ht="15" customHeight="1" x14ac:dyDescent="0.25">
      <c r="C319" s="40"/>
    </row>
    <row r="321" spans="3:3" ht="15" customHeight="1" x14ac:dyDescent="0.25">
      <c r="C321" s="40"/>
    </row>
    <row r="322" spans="3:3" ht="26.25" customHeight="1" x14ac:dyDescent="0.25">
      <c r="C322" s="41" t="s">
        <v>288</v>
      </c>
    </row>
    <row r="323" spans="3:3" ht="15" customHeight="1" x14ac:dyDescent="0.25">
      <c r="C323" s="40"/>
    </row>
    <row r="324" spans="3:3" ht="16.5" customHeight="1" x14ac:dyDescent="0.25">
      <c r="C324" s="43" t="s">
        <v>289</v>
      </c>
    </row>
    <row r="325" spans="3:3" ht="15" customHeight="1" x14ac:dyDescent="0.25">
      <c r="C325" s="40"/>
    </row>
    <row r="326" spans="3:3" ht="16.5" customHeight="1" x14ac:dyDescent="0.25">
      <c r="C326" s="43" t="s">
        <v>290</v>
      </c>
    </row>
    <row r="327" spans="3:3" ht="15" customHeight="1" x14ac:dyDescent="0.25">
      <c r="C327" s="40"/>
    </row>
    <row r="329" spans="3:3" ht="15" customHeight="1" x14ac:dyDescent="0.25">
      <c r="C329" s="40"/>
    </row>
    <row r="330" spans="3:3" ht="26.25" customHeight="1" x14ac:dyDescent="0.25">
      <c r="C330" s="41" t="s">
        <v>150</v>
      </c>
    </row>
    <row r="331" spans="3:3" ht="15" customHeight="1" x14ac:dyDescent="0.25">
      <c r="C331" s="40"/>
    </row>
    <row r="332" spans="3:3" ht="16.5" customHeight="1" x14ac:dyDescent="0.25">
      <c r="C332" s="43" t="s">
        <v>291</v>
      </c>
    </row>
    <row r="333" spans="3:3" ht="15" customHeight="1" x14ac:dyDescent="0.25">
      <c r="C333" s="40"/>
    </row>
    <row r="334" spans="3:3" ht="16.5" customHeight="1" x14ac:dyDescent="0.25">
      <c r="C334" s="43" t="s">
        <v>292</v>
      </c>
    </row>
    <row r="335" spans="3:3" ht="15" customHeight="1" x14ac:dyDescent="0.25">
      <c r="C335" s="40"/>
    </row>
    <row r="336" spans="3:3" ht="16.5" customHeight="1" x14ac:dyDescent="0.25">
      <c r="C336" s="49" t="s">
        <v>207</v>
      </c>
    </row>
    <row r="337" spans="3:3" ht="15" customHeight="1" x14ac:dyDescent="0.25">
      <c r="C337" s="40"/>
    </row>
    <row r="339" spans="3:3" ht="15" customHeight="1" x14ac:dyDescent="0.25">
      <c r="C339" s="40"/>
    </row>
    <row r="340" spans="3:3" ht="37.5" customHeight="1" x14ac:dyDescent="0.25">
      <c r="C340" s="39" t="s">
        <v>293</v>
      </c>
    </row>
    <row r="341" spans="3:3" ht="15" customHeight="1" x14ac:dyDescent="0.25">
      <c r="C341" s="40"/>
    </row>
    <row r="342" spans="3:3" ht="16.5" customHeight="1" x14ac:dyDescent="0.25">
      <c r="C342" s="43" t="s">
        <v>294</v>
      </c>
    </row>
    <row r="343" spans="3:3" ht="15" customHeight="1" x14ac:dyDescent="0.25">
      <c r="C343" s="40"/>
    </row>
    <row r="344" spans="3:3" ht="26.25" customHeight="1" x14ac:dyDescent="0.25">
      <c r="C344" s="41" t="s">
        <v>295</v>
      </c>
    </row>
    <row r="345" spans="3:3" ht="15" customHeight="1" x14ac:dyDescent="0.25">
      <c r="C345" s="40"/>
    </row>
    <row r="346" spans="3:3" ht="16.5" customHeight="1" x14ac:dyDescent="0.25">
      <c r="C346" s="43" t="s">
        <v>296</v>
      </c>
    </row>
    <row r="347" spans="3:3" ht="15" customHeight="1" x14ac:dyDescent="0.25">
      <c r="C347" s="44"/>
    </row>
    <row r="348" spans="3:3" ht="16.5" customHeight="1" x14ac:dyDescent="0.25">
      <c r="C348" s="45" t="s">
        <v>297</v>
      </c>
    </row>
    <row r="349" spans="3:3" ht="16.5" customHeight="1" x14ac:dyDescent="0.25">
      <c r="C349" s="45" t="s">
        <v>298</v>
      </c>
    </row>
    <row r="350" spans="3:3" ht="15" customHeight="1" x14ac:dyDescent="0.25">
      <c r="C350" s="40"/>
    </row>
    <row r="352" spans="3:3" ht="15" customHeight="1" x14ac:dyDescent="0.25">
      <c r="C352" s="40"/>
    </row>
    <row r="353" spans="3:3" ht="26.25" customHeight="1" x14ac:dyDescent="0.25">
      <c r="C353" s="41" t="s">
        <v>299</v>
      </c>
    </row>
    <row r="354" spans="3:3" ht="15" customHeight="1" x14ac:dyDescent="0.25">
      <c r="C354" s="40"/>
    </row>
    <row r="355" spans="3:3" ht="16.5" customHeight="1" x14ac:dyDescent="0.25">
      <c r="C355" s="43" t="s">
        <v>300</v>
      </c>
    </row>
    <row r="356" spans="3:3" ht="15" customHeight="1" x14ac:dyDescent="0.25">
      <c r="C356" s="40"/>
    </row>
    <row r="358" spans="3:3" ht="15" customHeight="1" x14ac:dyDescent="0.25">
      <c r="C358" s="40"/>
    </row>
    <row r="359" spans="3:3" ht="26.25" customHeight="1" x14ac:dyDescent="0.25">
      <c r="C359" s="41" t="s">
        <v>301</v>
      </c>
    </row>
    <row r="360" spans="3:3" ht="15" customHeight="1" x14ac:dyDescent="0.25">
      <c r="C360" s="44"/>
    </row>
    <row r="361" spans="3:3" ht="16.5" customHeight="1" x14ac:dyDescent="0.25">
      <c r="C361" s="45" t="s">
        <v>302</v>
      </c>
    </row>
    <row r="362" spans="3:3" ht="16.5" customHeight="1" x14ac:dyDescent="0.25">
      <c r="C362" s="45" t="s">
        <v>303</v>
      </c>
    </row>
    <row r="363" spans="3:3" ht="15" customHeight="1" x14ac:dyDescent="0.25">
      <c r="C363" s="40"/>
    </row>
    <row r="364" spans="3:3" ht="15" customHeight="1" x14ac:dyDescent="0.25">
      <c r="C364" s="48" t="s">
        <v>184</v>
      </c>
    </row>
    <row r="365" spans="3:3" ht="15" customHeight="1" x14ac:dyDescent="0.25">
      <c r="C365" s="40"/>
    </row>
    <row r="367" spans="3:3" ht="15" customHeight="1" x14ac:dyDescent="0.25">
      <c r="C367" s="40"/>
    </row>
    <row r="368" spans="3:3" ht="37.5" customHeight="1" x14ac:dyDescent="0.25">
      <c r="C368" s="39" t="s">
        <v>304</v>
      </c>
    </row>
    <row r="369" spans="3:3" ht="15" customHeight="1" x14ac:dyDescent="0.25">
      <c r="C369" s="40"/>
    </row>
    <row r="370" spans="3:3" ht="16.5" customHeight="1" x14ac:dyDescent="0.25">
      <c r="C370" s="43" t="s">
        <v>305</v>
      </c>
    </row>
    <row r="371" spans="3:3" ht="15" customHeight="1" x14ac:dyDescent="0.25">
      <c r="C371" s="40"/>
    </row>
    <row r="372" spans="3:3" ht="16.5" customHeight="1" x14ac:dyDescent="0.25">
      <c r="C372" s="43" t="s">
        <v>306</v>
      </c>
    </row>
    <row r="373" spans="3:3" ht="15" customHeight="1" x14ac:dyDescent="0.25">
      <c r="C373" s="40"/>
    </row>
    <row r="374" spans="3:3" ht="16.5" customHeight="1" x14ac:dyDescent="0.25">
      <c r="C374" s="43" t="s">
        <v>307</v>
      </c>
    </row>
    <row r="375" spans="3:3" ht="15" customHeight="1" x14ac:dyDescent="0.25">
      <c r="C375" s="40"/>
    </row>
    <row r="376" spans="3:3" ht="16.5" customHeight="1" x14ac:dyDescent="0.25">
      <c r="C376" s="43" t="s">
        <v>308</v>
      </c>
    </row>
    <row r="377" spans="3:3" ht="15" customHeight="1" x14ac:dyDescent="0.25">
      <c r="C377" s="40"/>
    </row>
    <row r="378" spans="3:3" ht="16.5" customHeight="1" x14ac:dyDescent="0.25">
      <c r="C378" s="43" t="s">
        <v>309</v>
      </c>
    </row>
    <row r="379" spans="3:3" ht="15" customHeight="1" x14ac:dyDescent="0.25">
      <c r="C379" s="40"/>
    </row>
    <row r="380" spans="3:3" ht="16.5" customHeight="1" x14ac:dyDescent="0.25">
      <c r="C380" s="43" t="s">
        <v>310</v>
      </c>
    </row>
    <row r="381" spans="3:3" ht="15" customHeight="1" x14ac:dyDescent="0.25">
      <c r="C381" s="40"/>
    </row>
    <row r="382" spans="3:3" ht="15" customHeight="1" x14ac:dyDescent="0.25">
      <c r="C382" s="48" t="s">
        <v>184</v>
      </c>
    </row>
    <row r="383" spans="3:3" ht="15" customHeight="1" x14ac:dyDescent="0.25">
      <c r="C383" s="40"/>
    </row>
    <row r="385" spans="3:3" ht="15" customHeight="1" x14ac:dyDescent="0.25">
      <c r="C385" s="40"/>
    </row>
    <row r="386" spans="3:3" ht="37.5" customHeight="1" x14ac:dyDescent="0.25">
      <c r="C386" s="39" t="s">
        <v>311</v>
      </c>
    </row>
    <row r="387" spans="3:3" ht="15" customHeight="1" x14ac:dyDescent="0.25">
      <c r="C387" s="40"/>
    </row>
    <row r="388" spans="3:3" ht="16.5" customHeight="1" x14ac:dyDescent="0.25">
      <c r="C388" s="43" t="s">
        <v>312</v>
      </c>
    </row>
    <row r="389" spans="3:3" ht="15" customHeight="1" x14ac:dyDescent="0.25">
      <c r="C389" s="40"/>
    </row>
    <row r="390" spans="3:3" ht="16.5" customHeight="1" x14ac:dyDescent="0.25">
      <c r="C390" s="43">
        <v>1</v>
      </c>
    </row>
    <row r="391" spans="3:3" ht="16.5" customHeight="1" x14ac:dyDescent="0.25">
      <c r="C391" s="43" t="s">
        <v>313</v>
      </c>
    </row>
    <row r="392" spans="3:3" ht="16.5" customHeight="1" x14ac:dyDescent="0.25">
      <c r="C392" s="43">
        <v>4</v>
      </c>
    </row>
    <row r="393" spans="3:3" ht="16.5" customHeight="1" x14ac:dyDescent="0.25">
      <c r="C393" s="43" t="s">
        <v>313</v>
      </c>
    </row>
    <row r="394" spans="3:3" ht="16.5" customHeight="1" x14ac:dyDescent="0.25">
      <c r="C394" s="43">
        <v>2</v>
      </c>
    </row>
    <row r="395" spans="3:3" ht="16.5" customHeight="1" x14ac:dyDescent="0.25">
      <c r="C395" s="43" t="s">
        <v>313</v>
      </c>
    </row>
    <row r="396" spans="3:3" ht="16.5" customHeight="1" x14ac:dyDescent="0.25">
      <c r="C396" s="43">
        <v>3</v>
      </c>
    </row>
    <row r="397" spans="3:3" ht="16.5" customHeight="1" x14ac:dyDescent="0.25">
      <c r="C397" s="43" t="s">
        <v>313</v>
      </c>
    </row>
    <row r="398" spans="3:3" ht="16.5" customHeight="1" x14ac:dyDescent="0.25">
      <c r="C398" s="43">
        <v>5</v>
      </c>
    </row>
    <row r="399" spans="3:3" ht="16.5" customHeight="1" x14ac:dyDescent="0.25">
      <c r="C399" s="43" t="s">
        <v>313</v>
      </c>
    </row>
    <row r="400" spans="3:3" ht="16.5" customHeight="1" x14ac:dyDescent="0.25">
      <c r="C400" s="43">
        <v>6</v>
      </c>
    </row>
    <row r="401" spans="3:3" ht="15" customHeight="1" x14ac:dyDescent="0.25">
      <c r="C401" s="40"/>
    </row>
    <row r="402" spans="3:3" ht="16.5" customHeight="1" x14ac:dyDescent="0.25">
      <c r="C402" s="43" t="s">
        <v>314</v>
      </c>
    </row>
    <row r="403" spans="3:3" ht="15" customHeight="1" x14ac:dyDescent="0.25">
      <c r="C403" s="40"/>
    </row>
    <row r="404" spans="3:3" ht="16.5" customHeight="1" x14ac:dyDescent="0.25">
      <c r="C404" s="43" t="s">
        <v>315</v>
      </c>
    </row>
    <row r="405" spans="3:3" ht="15" customHeight="1" x14ac:dyDescent="0.25">
      <c r="C405" s="40"/>
    </row>
    <row r="406" spans="3:3" ht="16.5" customHeight="1" x14ac:dyDescent="0.25">
      <c r="C406" s="43" t="s">
        <v>316</v>
      </c>
    </row>
    <row r="407" spans="3:3" ht="15" customHeight="1" x14ac:dyDescent="0.25">
      <c r="C407" s="40"/>
    </row>
    <row r="408" spans="3:3" ht="16.5" customHeight="1" x14ac:dyDescent="0.25">
      <c r="C408" s="43" t="s">
        <v>317</v>
      </c>
    </row>
    <row r="409" spans="3:3" ht="15" customHeight="1" x14ac:dyDescent="0.25">
      <c r="C409" s="40"/>
    </row>
    <row r="410" spans="3:3" ht="16.5" customHeight="1" x14ac:dyDescent="0.25">
      <c r="C410" s="43" t="s">
        <v>318</v>
      </c>
    </row>
    <row r="411" spans="3:3" ht="15" customHeight="1" x14ac:dyDescent="0.25">
      <c r="C411" s="40"/>
    </row>
    <row r="412" spans="3:3" ht="16.5" customHeight="1" x14ac:dyDescent="0.25">
      <c r="C412" s="43" t="s">
        <v>319</v>
      </c>
    </row>
    <row r="413" spans="3:3" ht="15" customHeight="1" x14ac:dyDescent="0.25">
      <c r="C413" s="40"/>
    </row>
    <row r="414" spans="3:3" ht="15" customHeight="1" x14ac:dyDescent="0.25">
      <c r="C414" s="48" t="s">
        <v>184</v>
      </c>
    </row>
    <row r="415" spans="3:3" ht="15" customHeight="1" x14ac:dyDescent="0.25">
      <c r="C415" s="40"/>
    </row>
    <row r="417" spans="3:3" ht="15" customHeight="1" x14ac:dyDescent="0.25">
      <c r="C417" s="40"/>
    </row>
    <row r="418" spans="3:3" ht="37.5" customHeight="1" x14ac:dyDescent="0.25">
      <c r="C418" s="39" t="s">
        <v>320</v>
      </c>
    </row>
    <row r="419" spans="3:3" ht="15" customHeight="1" x14ac:dyDescent="0.25">
      <c r="C419" s="40"/>
    </row>
    <row r="420" spans="3:3" ht="26.25" customHeight="1" x14ac:dyDescent="0.25">
      <c r="C420" s="41" t="s">
        <v>321</v>
      </c>
    </row>
    <row r="421" spans="3:3" ht="15" customHeight="1" x14ac:dyDescent="0.25">
      <c r="C421" s="40"/>
    </row>
    <row r="422" spans="3:3" ht="16.5" customHeight="1" x14ac:dyDescent="0.25">
      <c r="C422" s="43" t="s">
        <v>322</v>
      </c>
    </row>
    <row r="423" spans="3:3" ht="15" customHeight="1" x14ac:dyDescent="0.25">
      <c r="C423" s="40"/>
    </row>
    <row r="425" spans="3:3" ht="15" customHeight="1" x14ac:dyDescent="0.25">
      <c r="C425" s="40"/>
    </row>
    <row r="426" spans="3:3" ht="26.25" customHeight="1" x14ac:dyDescent="0.25">
      <c r="C426" s="41" t="s">
        <v>323</v>
      </c>
    </row>
    <row r="427" spans="3:3" ht="15" customHeight="1" x14ac:dyDescent="0.25">
      <c r="C427" s="40"/>
    </row>
    <row r="428" spans="3:3" ht="16.5" customHeight="1" x14ac:dyDescent="0.25">
      <c r="C428" s="43" t="s">
        <v>324</v>
      </c>
    </row>
    <row r="429" spans="3:3" ht="15" customHeight="1" x14ac:dyDescent="0.25">
      <c r="C429" s="40"/>
    </row>
    <row r="430" spans="3:3" ht="16.5" customHeight="1" x14ac:dyDescent="0.25">
      <c r="C430" s="43" t="s">
        <v>325</v>
      </c>
    </row>
    <row r="431" spans="3:3" ht="15" customHeight="1" x14ac:dyDescent="0.25">
      <c r="C431" s="40"/>
    </row>
    <row r="433" spans="3:3" ht="15" customHeight="1" x14ac:dyDescent="0.25">
      <c r="C433" s="40"/>
    </row>
    <row r="434" spans="3:3" ht="26.25" customHeight="1" x14ac:dyDescent="0.25">
      <c r="C434" s="41" t="s">
        <v>326</v>
      </c>
    </row>
    <row r="435" spans="3:3" ht="15" customHeight="1" x14ac:dyDescent="0.25">
      <c r="C435" s="40"/>
    </row>
    <row r="436" spans="3:3" ht="16.5" customHeight="1" x14ac:dyDescent="0.25">
      <c r="C436" s="43" t="s">
        <v>327</v>
      </c>
    </row>
    <row r="437" spans="3:3" ht="15" customHeight="1" x14ac:dyDescent="0.25">
      <c r="C437" s="40"/>
    </row>
    <row r="439" spans="3:3" ht="15" customHeight="1" x14ac:dyDescent="0.25">
      <c r="C439" s="40"/>
    </row>
    <row r="440" spans="3:3" ht="26.25" customHeight="1" x14ac:dyDescent="0.25">
      <c r="C440" s="41" t="s">
        <v>328</v>
      </c>
    </row>
    <row r="441" spans="3:3" ht="15" customHeight="1" x14ac:dyDescent="0.25">
      <c r="C441" s="40"/>
    </row>
    <row r="442" spans="3:3" ht="16.5" customHeight="1" x14ac:dyDescent="0.25">
      <c r="C442" s="43" t="s">
        <v>329</v>
      </c>
    </row>
    <row r="443" spans="3:3" ht="15" customHeight="1" x14ac:dyDescent="0.25">
      <c r="C443" s="40"/>
    </row>
    <row r="444" spans="3:3" ht="16.5" customHeight="1" x14ac:dyDescent="0.25">
      <c r="C444" s="43" t="s">
        <v>330</v>
      </c>
    </row>
    <row r="445" spans="3:3" ht="15" customHeight="1" x14ac:dyDescent="0.25">
      <c r="C445" s="40"/>
    </row>
    <row r="447" spans="3:3" ht="15" customHeight="1" x14ac:dyDescent="0.25">
      <c r="C447" s="40"/>
    </row>
    <row r="448" spans="3:3" ht="26.25" customHeight="1" x14ac:dyDescent="0.25">
      <c r="C448" s="41" t="s">
        <v>331</v>
      </c>
    </row>
    <row r="449" spans="3:3" ht="15" customHeight="1" x14ac:dyDescent="0.25">
      <c r="C449" s="40"/>
    </row>
    <row r="450" spans="3:3" ht="16.5" customHeight="1" x14ac:dyDescent="0.25">
      <c r="C450" s="43" t="s">
        <v>332</v>
      </c>
    </row>
    <row r="451" spans="3:3" ht="15" customHeight="1" x14ac:dyDescent="0.25">
      <c r="C451" s="40"/>
    </row>
    <row r="452" spans="3:3" ht="16.5" customHeight="1" x14ac:dyDescent="0.25">
      <c r="C452" s="43" t="s">
        <v>333</v>
      </c>
    </row>
    <row r="453" spans="3:3" ht="15" customHeight="1" x14ac:dyDescent="0.25">
      <c r="C453" s="40"/>
    </row>
    <row r="454" spans="3:3" ht="16.5" customHeight="1" x14ac:dyDescent="0.25">
      <c r="C454" s="43" t="s">
        <v>334</v>
      </c>
    </row>
    <row r="455" spans="3:3" ht="15" customHeight="1" x14ac:dyDescent="0.25">
      <c r="C455" s="40"/>
    </row>
    <row r="456" spans="3:3" ht="16.5" customHeight="1" x14ac:dyDescent="0.25">
      <c r="C456" s="43" t="s">
        <v>335</v>
      </c>
    </row>
    <row r="457" spans="3:3" ht="15" customHeight="1" x14ac:dyDescent="0.25">
      <c r="C457" s="40"/>
    </row>
    <row r="458" spans="3:3" ht="15" customHeight="1" x14ac:dyDescent="0.25">
      <c r="C458" s="48" t="s">
        <v>184</v>
      </c>
    </row>
    <row r="459" spans="3:3" ht="15" customHeight="1" x14ac:dyDescent="0.25">
      <c r="C459" s="40"/>
    </row>
    <row r="460" spans="3:3" ht="15" customHeight="1" x14ac:dyDescent="0.25">
      <c r="C460" s="15" t="s">
        <v>336</v>
      </c>
    </row>
    <row r="461" spans="3:3" ht="15" customHeight="1" x14ac:dyDescent="0.25">
      <c r="C461" s="40"/>
    </row>
    <row r="462" spans="3:3" ht="37.5" customHeight="1" x14ac:dyDescent="0.25">
      <c r="C462" s="39" t="s">
        <v>337</v>
      </c>
    </row>
    <row r="463" spans="3:3" ht="15" customHeight="1" x14ac:dyDescent="0.25">
      <c r="C463" s="40"/>
    </row>
    <row r="464" spans="3:3" ht="16.5" customHeight="1" x14ac:dyDescent="0.25">
      <c r="C464" s="43" t="s">
        <v>338</v>
      </c>
    </row>
    <row r="465" spans="3:3" ht="15" customHeight="1" x14ac:dyDescent="0.25">
      <c r="C465" s="40"/>
    </row>
    <row r="466" spans="3:3" ht="16.5" customHeight="1" x14ac:dyDescent="0.25">
      <c r="C466" s="43" t="s">
        <v>339</v>
      </c>
    </row>
    <row r="467" spans="3:3" ht="15" customHeight="1" x14ac:dyDescent="0.25">
      <c r="C467" s="40"/>
    </row>
    <row r="468" spans="3:3" ht="16.5" customHeight="1" x14ac:dyDescent="0.25">
      <c r="C468" s="43" t="s">
        <v>340</v>
      </c>
    </row>
    <row r="469" spans="3:3" ht="15" customHeight="1" x14ac:dyDescent="0.25">
      <c r="C469" s="40"/>
    </row>
    <row r="470" spans="3:3" ht="16.5" customHeight="1" x14ac:dyDescent="0.25">
      <c r="C470" s="43" t="s">
        <v>341</v>
      </c>
    </row>
    <row r="471" spans="3:3" ht="15" customHeight="1" x14ac:dyDescent="0.25">
      <c r="C471" s="40"/>
    </row>
    <row r="472" spans="3:3" ht="16.5" customHeight="1" x14ac:dyDescent="0.25">
      <c r="C472" s="43" t="s">
        <v>340</v>
      </c>
    </row>
    <row r="473" spans="3:3" ht="15" customHeight="1" x14ac:dyDescent="0.25">
      <c r="C473" s="40"/>
    </row>
    <row r="474" spans="3:3" ht="16.5" customHeight="1" x14ac:dyDescent="0.25">
      <c r="C474" s="43" t="s">
        <v>342</v>
      </c>
    </row>
    <row r="475" spans="3:3" ht="15" customHeight="1" x14ac:dyDescent="0.25">
      <c r="C475" s="40"/>
    </row>
    <row r="476" spans="3:3" ht="16.5" customHeight="1" x14ac:dyDescent="0.25">
      <c r="C476" s="43" t="s">
        <v>340</v>
      </c>
    </row>
    <row r="477" spans="3:3" ht="15" customHeight="1" x14ac:dyDescent="0.25">
      <c r="C477" s="40"/>
    </row>
    <row r="478" spans="3:3" ht="16.5" customHeight="1" x14ac:dyDescent="0.25">
      <c r="C478" s="43" t="s">
        <v>343</v>
      </c>
    </row>
    <row r="479" spans="3:3" ht="16.5" customHeight="1" x14ac:dyDescent="0.25">
      <c r="C479" s="43" t="s">
        <v>233</v>
      </c>
    </row>
    <row r="480" spans="3:3" ht="15" customHeight="1" x14ac:dyDescent="0.25">
      <c r="C480" s="40"/>
    </row>
    <row r="482" spans="3:3" ht="15" customHeight="1" x14ac:dyDescent="0.25">
      <c r="C482" s="40"/>
    </row>
    <row r="483" spans="3:3" ht="37.5" customHeight="1" x14ac:dyDescent="0.25">
      <c r="C483" s="39" t="s">
        <v>344</v>
      </c>
    </row>
    <row r="484" spans="3:3" ht="15" customHeight="1" x14ac:dyDescent="0.25">
      <c r="C484" s="40"/>
    </row>
    <row r="485" spans="3:3" ht="16.5" customHeight="1" x14ac:dyDescent="0.25">
      <c r="C485" s="43" t="s">
        <v>345</v>
      </c>
    </row>
    <row r="486" spans="3:3" ht="15" customHeight="1" x14ac:dyDescent="0.25">
      <c r="C486" s="40"/>
    </row>
    <row r="487" spans="3:3" ht="16.5" customHeight="1" x14ac:dyDescent="0.25">
      <c r="C487" s="43" t="s">
        <v>346</v>
      </c>
    </row>
    <row r="488" spans="3:3" ht="15" customHeight="1" x14ac:dyDescent="0.25">
      <c r="C488" s="44"/>
    </row>
    <row r="489" spans="3:3" ht="16.5" customHeight="1" x14ac:dyDescent="0.25">
      <c r="C489" s="45" t="s">
        <v>347</v>
      </c>
    </row>
    <row r="490" spans="3:3" ht="16.5" customHeight="1" x14ac:dyDescent="0.25">
      <c r="C490" s="45" t="s">
        <v>348</v>
      </c>
    </row>
    <row r="491" spans="3:3" ht="16.5" customHeight="1" x14ac:dyDescent="0.25">
      <c r="C491" s="45" t="s">
        <v>349</v>
      </c>
    </row>
    <row r="492" spans="3:3" ht="16.5" customHeight="1" x14ac:dyDescent="0.25">
      <c r="C492" s="45" t="s">
        <v>350</v>
      </c>
    </row>
    <row r="493" spans="3:3" ht="16.5" customHeight="1" x14ac:dyDescent="0.25">
      <c r="C493" s="45" t="s">
        <v>351</v>
      </c>
    </row>
    <row r="494" spans="3:3" ht="15" customHeight="1" x14ac:dyDescent="0.25">
      <c r="C494" s="40"/>
    </row>
    <row r="495" spans="3:3" ht="15" customHeight="1" x14ac:dyDescent="0.25">
      <c r="C495" s="48" t="s">
        <v>184</v>
      </c>
    </row>
    <row r="496" spans="3:3" ht="15" customHeight="1" x14ac:dyDescent="0.25">
      <c r="C496" s="40"/>
    </row>
    <row r="498" spans="3:3" ht="15" customHeight="1" x14ac:dyDescent="0.25">
      <c r="C498" s="40"/>
    </row>
    <row r="499" spans="3:3" ht="37.5" customHeight="1" x14ac:dyDescent="0.25">
      <c r="C499" s="39" t="s">
        <v>352</v>
      </c>
    </row>
    <row r="500" spans="3:3" ht="15" customHeight="1" x14ac:dyDescent="0.25">
      <c r="C500" s="40"/>
    </row>
    <row r="501" spans="3:3" ht="16.5" customHeight="1" x14ac:dyDescent="0.25">
      <c r="C501" s="43" t="s">
        <v>353</v>
      </c>
    </row>
    <row r="502" spans="3:3" ht="15" customHeight="1" x14ac:dyDescent="0.25">
      <c r="C502" s="40"/>
    </row>
    <row r="503" spans="3:3" ht="16.5" customHeight="1" x14ac:dyDescent="0.25">
      <c r="C503" s="43" t="s">
        <v>354</v>
      </c>
    </row>
    <row r="504" spans="3:3" ht="16.5" customHeight="1" x14ac:dyDescent="0.25">
      <c r="C504" s="43" t="s">
        <v>355</v>
      </c>
    </row>
    <row r="505" spans="3:3" ht="16.5" customHeight="1" x14ac:dyDescent="0.25">
      <c r="C505" s="43" t="s">
        <v>356</v>
      </c>
    </row>
    <row r="506" spans="3:3" ht="16.5" customHeight="1" x14ac:dyDescent="0.25">
      <c r="C506" s="43" t="s">
        <v>357</v>
      </c>
    </row>
    <row r="507" spans="3:3" ht="16.5" customHeight="1" x14ac:dyDescent="0.25">
      <c r="C507" s="43" t="s">
        <v>358</v>
      </c>
    </row>
    <row r="508" spans="3:3" ht="16.5" customHeight="1" x14ac:dyDescent="0.25">
      <c r="C508" s="43" t="s">
        <v>359</v>
      </c>
    </row>
    <row r="509" spans="3:3" ht="16.5" customHeight="1" x14ac:dyDescent="0.25">
      <c r="C509" s="43" t="s">
        <v>360</v>
      </c>
    </row>
    <row r="510" spans="3:3" ht="16.5" customHeight="1" x14ac:dyDescent="0.25">
      <c r="C510" s="43" t="s">
        <v>361</v>
      </c>
    </row>
    <row r="511" spans="3:3" ht="16.5" customHeight="1" x14ac:dyDescent="0.25">
      <c r="C511" s="43" t="s">
        <v>362</v>
      </c>
    </row>
    <row r="512" spans="3:3" ht="15" customHeight="1" x14ac:dyDescent="0.25">
      <c r="C512" s="40"/>
    </row>
    <row r="513" spans="3:16" ht="82.5" customHeight="1" x14ac:dyDescent="0.25">
      <c r="C513" s="4" t="s">
        <v>363</v>
      </c>
      <c r="D513" s="4"/>
      <c r="E513" s="4"/>
      <c r="F513" s="4"/>
      <c r="G513" s="4"/>
      <c r="H513" s="4"/>
      <c r="I513" s="4"/>
      <c r="J513" s="4"/>
      <c r="K513" s="4"/>
      <c r="L513" s="4"/>
      <c r="M513" s="4"/>
      <c r="N513" s="4"/>
      <c r="O513" s="4"/>
      <c r="P513" s="4"/>
    </row>
  </sheetData>
  <sheetProtection password="EBB1" sheet="1" formatColumns="0" formatRows="0" sort="0" autoFilter="0"/>
  <mergeCells count="1">
    <mergeCell ref="C513:P513"/>
  </mergeCells>
  <hyperlinks>
    <hyperlink ref="C114" r:id="rId1"/>
    <hyperlink ref="C364" r:id="rId2"/>
    <hyperlink ref="C382" r:id="rId3"/>
    <hyperlink ref="C414" r:id="rId4"/>
    <hyperlink ref="C458" r:id="rId5"/>
    <hyperlink ref="C495" r:id="rId6"/>
  </hyperlink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topLeftCell="B1" zoomScaleNormal="100" workbookViewId="0">
      <selection activeCell="D37" sqref="D37"/>
    </sheetView>
  </sheetViews>
  <sheetFormatPr defaultColWidth="8.7109375" defaultRowHeight="15" x14ac:dyDescent="0.25"/>
  <cols>
    <col min="1" max="1" width="11.5703125" style="15" customWidth="1"/>
    <col min="2" max="2" width="14.140625" style="15" customWidth="1"/>
    <col min="3" max="3" width="30.140625" style="15" customWidth="1"/>
    <col min="4" max="4" width="34.85546875" style="15" customWidth="1"/>
    <col min="14" max="14" width="11.7109375" style="15" customWidth="1"/>
  </cols>
  <sheetData>
    <row r="1" spans="1:15" ht="45" customHeight="1" x14ac:dyDescent="0.25">
      <c r="A1" s="50" t="s">
        <v>364</v>
      </c>
      <c r="B1" s="50" t="s">
        <v>365</v>
      </c>
      <c r="C1" s="50" t="s">
        <v>366</v>
      </c>
      <c r="D1" s="50" t="s">
        <v>367</v>
      </c>
      <c r="E1" s="50" t="s">
        <v>219</v>
      </c>
      <c r="F1" s="50" t="s">
        <v>220</v>
      </c>
      <c r="G1" s="50" t="s">
        <v>368</v>
      </c>
      <c r="H1" s="50" t="s">
        <v>221</v>
      </c>
      <c r="I1" s="50" t="s">
        <v>222</v>
      </c>
      <c r="J1" s="50" t="s">
        <v>223</v>
      </c>
      <c r="K1" s="50" t="s">
        <v>224</v>
      </c>
      <c r="L1" s="50" t="s">
        <v>225</v>
      </c>
      <c r="M1" s="51" t="s">
        <v>365</v>
      </c>
      <c r="N1" s="52" t="s">
        <v>369</v>
      </c>
      <c r="O1" s="50" t="s">
        <v>370</v>
      </c>
    </row>
    <row r="2" spans="1:15" ht="15" customHeight="1" x14ac:dyDescent="0.25">
      <c r="A2" s="50" t="s">
        <v>123</v>
      </c>
      <c r="B2" s="50" t="s">
        <v>165</v>
      </c>
      <c r="C2" s="50" t="s">
        <v>371</v>
      </c>
      <c r="D2" s="50" t="s">
        <v>372</v>
      </c>
      <c r="E2" s="50">
        <v>76.39</v>
      </c>
      <c r="F2" s="50">
        <v>22.92</v>
      </c>
      <c r="G2" s="50" t="s">
        <v>373</v>
      </c>
      <c r="H2" s="50">
        <v>68.75</v>
      </c>
      <c r="I2" s="50">
        <v>61.11</v>
      </c>
      <c r="J2" s="50">
        <v>49.65</v>
      </c>
      <c r="K2" s="50">
        <v>42.01</v>
      </c>
      <c r="L2" s="50">
        <v>38.200000000000003</v>
      </c>
      <c r="M2" s="53" t="s">
        <v>165</v>
      </c>
      <c r="N2" s="54">
        <v>0.2</v>
      </c>
      <c r="O2" s="50" t="s">
        <v>372</v>
      </c>
    </row>
    <row r="3" spans="1:15" ht="15" customHeight="1" x14ac:dyDescent="0.25">
      <c r="A3" s="50" t="s">
        <v>123</v>
      </c>
      <c r="B3" s="50" t="s">
        <v>166</v>
      </c>
      <c r="C3" s="50" t="s">
        <v>374</v>
      </c>
      <c r="D3" s="50" t="s">
        <v>375</v>
      </c>
      <c r="E3" s="50">
        <v>73.59</v>
      </c>
      <c r="F3" s="50">
        <v>22.08</v>
      </c>
      <c r="G3" s="50" t="s">
        <v>373</v>
      </c>
      <c r="H3" s="50">
        <v>66.23</v>
      </c>
      <c r="I3" s="50">
        <v>58.87</v>
      </c>
      <c r="J3" s="50">
        <v>47.83</v>
      </c>
      <c r="K3" s="50">
        <v>40.47</v>
      </c>
      <c r="L3" s="50">
        <v>36.799999999999997</v>
      </c>
      <c r="M3" s="53" t="s">
        <v>166</v>
      </c>
      <c r="N3" s="54">
        <v>0.15</v>
      </c>
      <c r="O3" s="50" t="s">
        <v>375</v>
      </c>
    </row>
    <row r="4" spans="1:15" ht="15" customHeight="1" x14ac:dyDescent="0.25">
      <c r="A4" s="50" t="s">
        <v>123</v>
      </c>
      <c r="B4" s="50" t="s">
        <v>167</v>
      </c>
      <c r="C4" s="50" t="s">
        <v>376</v>
      </c>
      <c r="D4" s="50" t="s">
        <v>377</v>
      </c>
      <c r="E4" s="50">
        <v>54.99</v>
      </c>
      <c r="F4" s="50">
        <v>16.5</v>
      </c>
      <c r="G4" s="50" t="s">
        <v>373</v>
      </c>
      <c r="H4" s="50">
        <v>49.49</v>
      </c>
      <c r="I4" s="50">
        <v>43.99</v>
      </c>
      <c r="J4" s="50">
        <v>35.74</v>
      </c>
      <c r="K4" s="50">
        <v>30.24</v>
      </c>
      <c r="L4" s="50">
        <v>27.5</v>
      </c>
      <c r="M4" s="53" t="s">
        <v>167</v>
      </c>
      <c r="N4" s="54">
        <v>0.2</v>
      </c>
      <c r="O4" s="50" t="s">
        <v>377</v>
      </c>
    </row>
    <row r="5" spans="1:15" ht="15" customHeight="1" x14ac:dyDescent="0.25">
      <c r="A5" s="50" t="s">
        <v>123</v>
      </c>
      <c r="B5" s="50" t="s">
        <v>168</v>
      </c>
      <c r="C5" s="50" t="s">
        <v>378</v>
      </c>
      <c r="D5" s="50" t="s">
        <v>379</v>
      </c>
      <c r="E5" s="50">
        <v>44.58</v>
      </c>
      <c r="F5" s="50">
        <v>13.37</v>
      </c>
      <c r="G5" s="50" t="s">
        <v>373</v>
      </c>
      <c r="H5" s="50">
        <v>40.119999999999997</v>
      </c>
      <c r="I5" s="50">
        <v>35.659999999999997</v>
      </c>
      <c r="J5" s="50">
        <v>28.98</v>
      </c>
      <c r="K5" s="50">
        <v>24.52</v>
      </c>
      <c r="L5" s="50">
        <v>22.29</v>
      </c>
      <c r="M5" s="53" t="s">
        <v>168</v>
      </c>
      <c r="N5" s="54">
        <v>0.1</v>
      </c>
      <c r="O5" s="50" t="s">
        <v>379</v>
      </c>
    </row>
    <row r="6" spans="1:15" ht="30" customHeight="1" x14ac:dyDescent="0.25">
      <c r="A6" s="50" t="s">
        <v>123</v>
      </c>
      <c r="B6" s="50" t="s">
        <v>169</v>
      </c>
      <c r="C6" s="50" t="s">
        <v>380</v>
      </c>
      <c r="D6" s="50" t="s">
        <v>381</v>
      </c>
      <c r="E6" s="50">
        <v>73.2</v>
      </c>
      <c r="F6" s="50">
        <v>21.96</v>
      </c>
      <c r="G6" s="50" t="s">
        <v>373</v>
      </c>
      <c r="H6" s="50">
        <v>65.88</v>
      </c>
      <c r="I6" s="50">
        <v>58.56</v>
      </c>
      <c r="J6" s="50">
        <v>47.58</v>
      </c>
      <c r="K6" s="50">
        <v>40.26</v>
      </c>
      <c r="L6" s="50">
        <v>36.6</v>
      </c>
      <c r="M6" s="53" t="s">
        <v>169</v>
      </c>
      <c r="N6" s="54">
        <v>0.1</v>
      </c>
      <c r="O6" s="50" t="s">
        <v>381</v>
      </c>
    </row>
    <row r="7" spans="1:15" ht="15" customHeight="1" x14ac:dyDescent="0.25">
      <c r="A7" s="50" t="s">
        <v>123</v>
      </c>
      <c r="B7" s="50" t="s">
        <v>170</v>
      </c>
      <c r="C7" s="50" t="s">
        <v>382</v>
      </c>
      <c r="D7" s="50" t="s">
        <v>383</v>
      </c>
      <c r="E7" s="50">
        <v>52.14</v>
      </c>
      <c r="F7" s="50">
        <v>15.64</v>
      </c>
      <c r="G7" s="50" t="s">
        <v>373</v>
      </c>
      <c r="H7" s="50">
        <v>46.93</v>
      </c>
      <c r="I7" s="50">
        <v>41.71</v>
      </c>
      <c r="J7" s="50">
        <v>33.89</v>
      </c>
      <c r="K7" s="50">
        <v>28.68</v>
      </c>
      <c r="L7" s="50">
        <v>26.07</v>
      </c>
      <c r="M7" s="53" t="s">
        <v>170</v>
      </c>
      <c r="N7" s="54">
        <v>0.15</v>
      </c>
      <c r="O7" s="50" t="s">
        <v>383</v>
      </c>
    </row>
    <row r="8" spans="1:15" ht="30" customHeight="1" x14ac:dyDescent="0.25">
      <c r="A8" s="50" t="s">
        <v>123</v>
      </c>
      <c r="B8" s="50" t="s">
        <v>384</v>
      </c>
      <c r="C8" s="50" t="s">
        <v>385</v>
      </c>
      <c r="D8" s="50" t="s">
        <v>386</v>
      </c>
      <c r="E8" s="50">
        <v>66.31</v>
      </c>
      <c r="F8" s="50">
        <v>19.89</v>
      </c>
      <c r="G8" s="50" t="s">
        <v>373</v>
      </c>
      <c r="H8" s="50">
        <v>59.68</v>
      </c>
      <c r="I8" s="50">
        <v>53.05</v>
      </c>
      <c r="J8" s="50">
        <v>43.1</v>
      </c>
      <c r="K8" s="50">
        <v>36.47</v>
      </c>
      <c r="L8" s="50">
        <v>33.159999999999997</v>
      </c>
      <c r="M8" s="53" t="s">
        <v>384</v>
      </c>
      <c r="N8" s="54">
        <v>0.1</v>
      </c>
      <c r="O8" s="50" t="s">
        <v>386</v>
      </c>
    </row>
    <row r="9" spans="1:15" ht="15" customHeight="1" x14ac:dyDescent="0.25">
      <c r="A9" s="50" t="s">
        <v>125</v>
      </c>
      <c r="B9" s="50" t="s">
        <v>172</v>
      </c>
      <c r="C9" s="50" t="s">
        <v>387</v>
      </c>
      <c r="D9" s="50" t="s">
        <v>388</v>
      </c>
      <c r="E9" s="50">
        <v>62.76</v>
      </c>
      <c r="F9" s="50">
        <v>18.829999999999998</v>
      </c>
      <c r="G9" s="50" t="s">
        <v>373</v>
      </c>
      <c r="H9" s="50">
        <v>56.48</v>
      </c>
      <c r="I9" s="50">
        <v>50.21</v>
      </c>
      <c r="J9" s="50">
        <v>40.79</v>
      </c>
      <c r="K9" s="50">
        <v>34.520000000000003</v>
      </c>
      <c r="L9" s="50">
        <v>31.38</v>
      </c>
      <c r="M9" s="55" t="s">
        <v>172</v>
      </c>
      <c r="N9" s="52">
        <v>0.15</v>
      </c>
      <c r="O9" s="50" t="s">
        <v>388</v>
      </c>
    </row>
    <row r="10" spans="1:15" ht="15" customHeight="1" x14ac:dyDescent="0.25">
      <c r="A10" s="50" t="s">
        <v>125</v>
      </c>
      <c r="B10" s="50" t="s">
        <v>389</v>
      </c>
      <c r="C10" s="50" t="s">
        <v>390</v>
      </c>
      <c r="D10" s="50" t="s">
        <v>391</v>
      </c>
      <c r="E10" s="50">
        <v>65.83</v>
      </c>
      <c r="F10" s="50">
        <v>19.75</v>
      </c>
      <c r="G10" s="50" t="s">
        <v>373</v>
      </c>
      <c r="H10" s="50">
        <v>59.25</v>
      </c>
      <c r="I10" s="50">
        <v>52.66</v>
      </c>
      <c r="J10" s="50">
        <v>42.79</v>
      </c>
      <c r="K10" s="50">
        <v>36.21</v>
      </c>
      <c r="L10" s="50">
        <v>32.909999999999997</v>
      </c>
      <c r="M10" s="50" t="s">
        <v>389</v>
      </c>
      <c r="N10" s="15">
        <f>1-N9-N11-N12-N13-N14-N15-N16</f>
        <v>0.22999999999999998</v>
      </c>
      <c r="O10" s="50" t="s">
        <v>391</v>
      </c>
    </row>
    <row r="11" spans="1:15" ht="15" customHeight="1" x14ac:dyDescent="0.25">
      <c r="A11" s="50" t="s">
        <v>125</v>
      </c>
      <c r="B11" s="50" t="s">
        <v>392</v>
      </c>
      <c r="C11" s="50" t="s">
        <v>393</v>
      </c>
      <c r="D11" s="50" t="s">
        <v>394</v>
      </c>
      <c r="E11" s="50">
        <v>78.5</v>
      </c>
      <c r="F11" s="50">
        <v>23.55</v>
      </c>
      <c r="G11" s="50" t="s">
        <v>373</v>
      </c>
      <c r="H11" s="50">
        <v>70.650000000000006</v>
      </c>
      <c r="I11" s="50">
        <v>62.8</v>
      </c>
      <c r="J11" s="50">
        <v>51.02</v>
      </c>
      <c r="K11" s="50">
        <v>43.18</v>
      </c>
      <c r="L11" s="50">
        <v>39.25</v>
      </c>
      <c r="M11" s="50" t="s">
        <v>392</v>
      </c>
      <c r="N11" s="56">
        <v>0.1</v>
      </c>
      <c r="O11" s="50" t="s">
        <v>394</v>
      </c>
    </row>
    <row r="12" spans="1:15" ht="15" customHeight="1" x14ac:dyDescent="0.25">
      <c r="A12" s="50" t="s">
        <v>125</v>
      </c>
      <c r="B12" s="50" t="s">
        <v>395</v>
      </c>
      <c r="C12" s="50" t="s">
        <v>396</v>
      </c>
      <c r="D12" s="50" t="s">
        <v>397</v>
      </c>
      <c r="E12" s="50">
        <v>73.05</v>
      </c>
      <c r="F12" s="50">
        <v>21.91</v>
      </c>
      <c r="G12" s="50" t="s">
        <v>373</v>
      </c>
      <c r="H12" s="50">
        <v>65.75</v>
      </c>
      <c r="I12" s="50">
        <v>58.44</v>
      </c>
      <c r="J12" s="50">
        <v>47.48</v>
      </c>
      <c r="K12" s="50">
        <v>40.18</v>
      </c>
      <c r="L12" s="50">
        <v>36.520000000000003</v>
      </c>
      <c r="M12" s="50" t="s">
        <v>395</v>
      </c>
      <c r="N12" s="56">
        <v>0.1</v>
      </c>
      <c r="O12" s="50" t="s">
        <v>397</v>
      </c>
    </row>
    <row r="13" spans="1:15" ht="15" customHeight="1" x14ac:dyDescent="0.25">
      <c r="A13" s="50" t="s">
        <v>125</v>
      </c>
      <c r="B13" s="50" t="s">
        <v>398</v>
      </c>
      <c r="C13" s="50" t="s">
        <v>399</v>
      </c>
      <c r="D13" s="50" t="s">
        <v>400</v>
      </c>
      <c r="E13" s="50">
        <v>65.28</v>
      </c>
      <c r="F13" s="50">
        <v>19.579999999999998</v>
      </c>
      <c r="G13" s="50" t="s">
        <v>373</v>
      </c>
      <c r="H13" s="50">
        <v>58.75</v>
      </c>
      <c r="I13" s="50">
        <v>52.22</v>
      </c>
      <c r="J13" s="50">
        <v>42.43</v>
      </c>
      <c r="K13" s="50">
        <v>35.9</v>
      </c>
      <c r="L13" s="50">
        <v>32.64</v>
      </c>
      <c r="M13" s="50" t="s">
        <v>398</v>
      </c>
      <c r="N13" s="15">
        <f>0.18</f>
        <v>0.18</v>
      </c>
      <c r="O13" s="50" t="s">
        <v>400</v>
      </c>
    </row>
    <row r="14" spans="1:15" ht="15" customHeight="1" x14ac:dyDescent="0.25">
      <c r="A14" s="50" t="s">
        <v>125</v>
      </c>
      <c r="B14" s="50" t="s">
        <v>177</v>
      </c>
      <c r="C14" s="50" t="s">
        <v>401</v>
      </c>
      <c r="D14" s="50" t="s">
        <v>402</v>
      </c>
      <c r="E14" s="50">
        <v>52.31</v>
      </c>
      <c r="F14" s="50">
        <v>15.69</v>
      </c>
      <c r="G14" s="50" t="s">
        <v>373</v>
      </c>
      <c r="H14" s="50">
        <v>47.08</v>
      </c>
      <c r="I14" s="50">
        <v>41.85</v>
      </c>
      <c r="J14" s="50">
        <v>34</v>
      </c>
      <c r="K14" s="50">
        <v>28.77</v>
      </c>
      <c r="L14" s="50">
        <v>26.16</v>
      </c>
      <c r="M14" s="50" t="s">
        <v>177</v>
      </c>
      <c r="N14" s="15">
        <f>0.08</f>
        <v>0.08</v>
      </c>
      <c r="O14" s="50" t="s">
        <v>402</v>
      </c>
    </row>
    <row r="15" spans="1:15" ht="15" customHeight="1" x14ac:dyDescent="0.25">
      <c r="A15" s="50" t="s">
        <v>125</v>
      </c>
      <c r="B15" s="50" t="s">
        <v>180</v>
      </c>
      <c r="C15" s="50" t="s">
        <v>403</v>
      </c>
      <c r="D15" s="50" t="s">
        <v>404</v>
      </c>
      <c r="E15" s="50">
        <v>41.94</v>
      </c>
      <c r="F15" s="50">
        <v>12.58</v>
      </c>
      <c r="G15" s="50" t="s">
        <v>373</v>
      </c>
      <c r="H15" s="50">
        <v>37.75</v>
      </c>
      <c r="I15" s="50">
        <v>33.549999999999997</v>
      </c>
      <c r="J15" s="50">
        <v>27.26</v>
      </c>
      <c r="K15" s="50">
        <v>23.07</v>
      </c>
      <c r="L15" s="50">
        <v>20.97</v>
      </c>
      <c r="M15" s="50" t="s">
        <v>180</v>
      </c>
      <c r="N15" s="50">
        <v>0.08</v>
      </c>
      <c r="O15" s="50" t="s">
        <v>404</v>
      </c>
    </row>
    <row r="16" spans="1:15" ht="15" customHeight="1" x14ac:dyDescent="0.25">
      <c r="A16" s="50" t="s">
        <v>125</v>
      </c>
      <c r="B16" s="50" t="s">
        <v>179</v>
      </c>
      <c r="C16" s="50" t="s">
        <v>405</v>
      </c>
      <c r="D16" s="50" t="s">
        <v>406</v>
      </c>
      <c r="E16" s="50">
        <v>73.040000000000006</v>
      </c>
      <c r="F16" s="50">
        <v>21.91</v>
      </c>
      <c r="G16" s="50" t="s">
        <v>373</v>
      </c>
      <c r="H16" s="50">
        <v>65.739999999999995</v>
      </c>
      <c r="I16" s="50">
        <v>58.43</v>
      </c>
      <c r="J16" s="50">
        <v>47.48</v>
      </c>
      <c r="K16" s="50">
        <v>40.17</v>
      </c>
      <c r="L16" s="50">
        <v>36.520000000000003</v>
      </c>
      <c r="M16" s="50" t="s">
        <v>179</v>
      </c>
      <c r="N16" s="50">
        <v>0.08</v>
      </c>
      <c r="O16" s="50" t="s">
        <v>406</v>
      </c>
    </row>
    <row r="17" spans="1:15" ht="15" customHeight="1" x14ac:dyDescent="0.25">
      <c r="A17" s="50" t="s">
        <v>127</v>
      </c>
      <c r="B17" s="50" t="s">
        <v>187</v>
      </c>
      <c r="C17" s="50" t="s">
        <v>407</v>
      </c>
      <c r="D17" s="50" t="s">
        <v>408</v>
      </c>
      <c r="E17" s="50">
        <v>52.18</v>
      </c>
      <c r="F17" s="50">
        <v>78.27</v>
      </c>
      <c r="G17" s="50" t="s">
        <v>409</v>
      </c>
      <c r="H17" s="50">
        <v>54.79</v>
      </c>
      <c r="I17" s="50">
        <v>57.4</v>
      </c>
      <c r="J17" s="50">
        <v>61.31</v>
      </c>
      <c r="K17" s="50">
        <v>63.92</v>
      </c>
      <c r="L17" s="50">
        <v>65.22</v>
      </c>
      <c r="M17" s="53" t="s">
        <v>187</v>
      </c>
      <c r="N17" s="54">
        <v>0.2</v>
      </c>
      <c r="O17" s="50" t="s">
        <v>408</v>
      </c>
    </row>
    <row r="18" spans="1:15" ht="15" customHeight="1" x14ac:dyDescent="0.25">
      <c r="A18" s="50" t="s">
        <v>127</v>
      </c>
      <c r="B18" s="50" t="s">
        <v>188</v>
      </c>
      <c r="C18" s="50" t="s">
        <v>188</v>
      </c>
      <c r="D18" s="50" t="s">
        <v>410</v>
      </c>
      <c r="E18" s="50">
        <v>63.77</v>
      </c>
      <c r="F18" s="50">
        <v>95.66</v>
      </c>
      <c r="G18" s="50" t="s">
        <v>409</v>
      </c>
      <c r="H18" s="50">
        <v>66.959999999999994</v>
      </c>
      <c r="I18" s="50">
        <v>70.150000000000006</v>
      </c>
      <c r="J18" s="50">
        <v>74.930000000000007</v>
      </c>
      <c r="K18" s="50">
        <v>78.12</v>
      </c>
      <c r="L18" s="50">
        <v>79.72</v>
      </c>
      <c r="M18" s="53" t="s">
        <v>188</v>
      </c>
      <c r="N18" s="54">
        <v>0.2</v>
      </c>
      <c r="O18" s="50" t="s">
        <v>410</v>
      </c>
    </row>
    <row r="19" spans="1:15" ht="15" customHeight="1" x14ac:dyDescent="0.25">
      <c r="A19" s="50" t="s">
        <v>127</v>
      </c>
      <c r="B19" s="50" t="s">
        <v>189</v>
      </c>
      <c r="C19" s="50" t="s">
        <v>189</v>
      </c>
      <c r="D19" s="50" t="s">
        <v>411</v>
      </c>
      <c r="E19" s="50">
        <v>79.27</v>
      </c>
      <c r="F19" s="50">
        <v>118.91</v>
      </c>
      <c r="G19" s="50" t="s">
        <v>409</v>
      </c>
      <c r="H19" s="50">
        <v>83.23</v>
      </c>
      <c r="I19" s="50">
        <v>87.2</v>
      </c>
      <c r="J19" s="50">
        <v>93.14</v>
      </c>
      <c r="K19" s="50">
        <v>97.11</v>
      </c>
      <c r="L19" s="50">
        <v>99.09</v>
      </c>
      <c r="M19" s="53" t="s">
        <v>189</v>
      </c>
      <c r="N19" s="54">
        <v>0.2</v>
      </c>
      <c r="O19" s="50" t="s">
        <v>411</v>
      </c>
    </row>
    <row r="20" spans="1:15" ht="15" customHeight="1" x14ac:dyDescent="0.25">
      <c r="A20" s="50" t="s">
        <v>127</v>
      </c>
      <c r="B20" s="50" t="s">
        <v>412</v>
      </c>
      <c r="C20" s="50" t="s">
        <v>413</v>
      </c>
      <c r="D20" s="50" t="s">
        <v>414</v>
      </c>
      <c r="E20" s="50">
        <v>68.78</v>
      </c>
      <c r="F20" s="50">
        <v>20.63</v>
      </c>
      <c r="G20" s="50" t="s">
        <v>373</v>
      </c>
      <c r="H20" s="50">
        <v>61.9</v>
      </c>
      <c r="I20" s="50">
        <v>55.02</v>
      </c>
      <c r="J20" s="50">
        <v>44.71</v>
      </c>
      <c r="K20" s="50">
        <v>37.83</v>
      </c>
      <c r="L20" s="50">
        <v>34.39</v>
      </c>
      <c r="M20" s="53" t="s">
        <v>412</v>
      </c>
      <c r="N20" s="54">
        <v>0.15</v>
      </c>
      <c r="O20" s="50" t="s">
        <v>414</v>
      </c>
    </row>
    <row r="21" spans="1:15" ht="15" customHeight="1" x14ac:dyDescent="0.25">
      <c r="A21" s="50" t="s">
        <v>127</v>
      </c>
      <c r="B21" s="50" t="s">
        <v>415</v>
      </c>
      <c r="C21" s="50" t="s">
        <v>416</v>
      </c>
      <c r="D21" s="50" t="s">
        <v>417</v>
      </c>
      <c r="E21" s="50">
        <v>44.34</v>
      </c>
      <c r="F21" s="50">
        <v>13.3</v>
      </c>
      <c r="G21" s="50" t="s">
        <v>373</v>
      </c>
      <c r="H21" s="50">
        <v>39.909999999999997</v>
      </c>
      <c r="I21" s="50">
        <v>35.47</v>
      </c>
      <c r="J21" s="50">
        <v>28.82</v>
      </c>
      <c r="K21" s="50">
        <v>24.39</v>
      </c>
      <c r="L21" s="50">
        <v>22.17</v>
      </c>
      <c r="M21" s="53" t="s">
        <v>415</v>
      </c>
      <c r="N21" s="54">
        <v>0.1</v>
      </c>
      <c r="O21" s="50" t="s">
        <v>417</v>
      </c>
    </row>
    <row r="22" spans="1:15" ht="15" customHeight="1" x14ac:dyDescent="0.25">
      <c r="A22" s="50" t="s">
        <v>127</v>
      </c>
      <c r="B22" s="50" t="s">
        <v>418</v>
      </c>
      <c r="C22" s="50" t="s">
        <v>419</v>
      </c>
      <c r="D22" s="50" t="s">
        <v>420</v>
      </c>
      <c r="E22" s="50">
        <v>59.27</v>
      </c>
      <c r="F22" s="50">
        <v>17.78</v>
      </c>
      <c r="G22" s="50" t="s">
        <v>373</v>
      </c>
      <c r="H22" s="50">
        <v>53.34</v>
      </c>
      <c r="I22" s="50">
        <v>47.42</v>
      </c>
      <c r="J22" s="50">
        <v>38.53</v>
      </c>
      <c r="K22" s="50">
        <v>32.6</v>
      </c>
      <c r="L22" s="50">
        <v>29.64</v>
      </c>
      <c r="M22" s="53" t="s">
        <v>418</v>
      </c>
      <c r="N22" s="54">
        <v>0.15</v>
      </c>
      <c r="O22" s="50" t="s">
        <v>420</v>
      </c>
    </row>
    <row r="23" spans="1:15" ht="15" customHeight="1" x14ac:dyDescent="0.25">
      <c r="A23" s="50" t="s">
        <v>129</v>
      </c>
      <c r="B23" s="50" t="s">
        <v>200</v>
      </c>
      <c r="C23" s="50" t="s">
        <v>421</v>
      </c>
      <c r="D23" s="50" t="s">
        <v>422</v>
      </c>
      <c r="E23" s="50">
        <v>76.489999999999995</v>
      </c>
      <c r="F23" s="50">
        <v>114.73</v>
      </c>
      <c r="G23" s="50" t="s">
        <v>409</v>
      </c>
      <c r="H23" s="50">
        <v>80.31</v>
      </c>
      <c r="I23" s="50">
        <v>84.14</v>
      </c>
      <c r="J23" s="50">
        <v>89.87</v>
      </c>
      <c r="K23" s="50">
        <v>93.7</v>
      </c>
      <c r="L23" s="50">
        <v>95.61</v>
      </c>
      <c r="M23" s="53" t="s">
        <v>200</v>
      </c>
      <c r="N23" s="54">
        <v>0.15</v>
      </c>
      <c r="O23" s="50" t="s">
        <v>422</v>
      </c>
    </row>
    <row r="24" spans="1:15" ht="15" customHeight="1" x14ac:dyDescent="0.25">
      <c r="A24" s="50" t="s">
        <v>129</v>
      </c>
      <c r="B24" s="50" t="s">
        <v>201</v>
      </c>
      <c r="C24" s="50" t="s">
        <v>423</v>
      </c>
      <c r="D24" s="50" t="s">
        <v>424</v>
      </c>
      <c r="E24" s="50">
        <v>71.819999999999993</v>
      </c>
      <c r="F24" s="50">
        <v>107.73</v>
      </c>
      <c r="G24" s="50" t="s">
        <v>409</v>
      </c>
      <c r="H24" s="50">
        <v>75.41</v>
      </c>
      <c r="I24" s="50">
        <v>79</v>
      </c>
      <c r="J24" s="50">
        <v>84.39</v>
      </c>
      <c r="K24" s="50">
        <v>87.98</v>
      </c>
      <c r="L24" s="50">
        <v>89.78</v>
      </c>
      <c r="M24" s="53" t="s">
        <v>201</v>
      </c>
      <c r="N24" s="54">
        <v>0.2</v>
      </c>
      <c r="O24" s="50" t="s">
        <v>424</v>
      </c>
    </row>
    <row r="25" spans="1:15" ht="15" customHeight="1" x14ac:dyDescent="0.25">
      <c r="A25" s="50" t="s">
        <v>129</v>
      </c>
      <c r="B25" s="50" t="s">
        <v>202</v>
      </c>
      <c r="C25" s="50" t="s">
        <v>425</v>
      </c>
      <c r="D25" s="50" t="s">
        <v>426</v>
      </c>
      <c r="E25" s="50">
        <v>79.09</v>
      </c>
      <c r="F25" s="50">
        <v>23.73</v>
      </c>
      <c r="G25" s="50" t="s">
        <v>373</v>
      </c>
      <c r="H25" s="50">
        <v>71.180000000000007</v>
      </c>
      <c r="I25" s="50">
        <v>63.27</v>
      </c>
      <c r="J25" s="50">
        <v>51.41</v>
      </c>
      <c r="K25" s="50">
        <v>43.5</v>
      </c>
      <c r="L25" s="50">
        <v>39.549999999999997</v>
      </c>
      <c r="M25" s="53" t="s">
        <v>202</v>
      </c>
      <c r="N25" s="54">
        <v>0.15</v>
      </c>
      <c r="O25" s="50" t="s">
        <v>426</v>
      </c>
    </row>
    <row r="26" spans="1:15" ht="15" customHeight="1" x14ac:dyDescent="0.25">
      <c r="A26" s="50" t="s">
        <v>129</v>
      </c>
      <c r="B26" s="50" t="s">
        <v>203</v>
      </c>
      <c r="C26" s="50" t="s">
        <v>427</v>
      </c>
      <c r="D26" s="50" t="s">
        <v>428</v>
      </c>
      <c r="E26" s="50">
        <v>77.3</v>
      </c>
      <c r="F26" s="50">
        <v>115.95</v>
      </c>
      <c r="G26" s="50" t="s">
        <v>409</v>
      </c>
      <c r="H26" s="50">
        <v>81.16</v>
      </c>
      <c r="I26" s="50">
        <v>85.03</v>
      </c>
      <c r="J26" s="50">
        <v>90.83</v>
      </c>
      <c r="K26" s="50">
        <v>94.69</v>
      </c>
      <c r="L26" s="50">
        <v>96.62</v>
      </c>
      <c r="M26" s="53" t="s">
        <v>203</v>
      </c>
      <c r="N26" s="54">
        <v>0.15</v>
      </c>
      <c r="O26" s="50" t="s">
        <v>428</v>
      </c>
    </row>
    <row r="27" spans="1:15" ht="15" customHeight="1" x14ac:dyDescent="0.25">
      <c r="A27" s="50" t="s">
        <v>129</v>
      </c>
      <c r="B27" s="50" t="s">
        <v>205</v>
      </c>
      <c r="C27" s="50" t="s">
        <v>429</v>
      </c>
      <c r="D27" s="50" t="s">
        <v>430</v>
      </c>
      <c r="E27" s="50">
        <v>59.49</v>
      </c>
      <c r="F27" s="50">
        <v>89.23</v>
      </c>
      <c r="G27" s="50" t="s">
        <v>409</v>
      </c>
      <c r="H27" s="50">
        <v>62.46</v>
      </c>
      <c r="I27" s="50">
        <v>65.44</v>
      </c>
      <c r="J27" s="50">
        <v>69.900000000000006</v>
      </c>
      <c r="K27" s="50">
        <v>72.87</v>
      </c>
      <c r="L27" s="50">
        <v>74.36</v>
      </c>
      <c r="M27" s="53" t="s">
        <v>205</v>
      </c>
      <c r="N27" s="54">
        <v>0.2</v>
      </c>
      <c r="O27" s="50" t="s">
        <v>430</v>
      </c>
    </row>
    <row r="28" spans="1:15" ht="15" customHeight="1" x14ac:dyDescent="0.25">
      <c r="A28" s="50" t="s">
        <v>129</v>
      </c>
      <c r="B28" s="50" t="s">
        <v>206</v>
      </c>
      <c r="C28" s="50" t="s">
        <v>431</v>
      </c>
      <c r="D28" s="50" t="s">
        <v>432</v>
      </c>
      <c r="E28" s="50">
        <v>45.57</v>
      </c>
      <c r="F28" s="50">
        <v>13.67</v>
      </c>
      <c r="G28" s="50" t="s">
        <v>373</v>
      </c>
      <c r="H28" s="50">
        <v>41.01</v>
      </c>
      <c r="I28" s="50">
        <v>36.46</v>
      </c>
      <c r="J28" s="50">
        <v>29.62</v>
      </c>
      <c r="K28" s="50">
        <v>25.06</v>
      </c>
      <c r="L28" s="50">
        <v>22.79</v>
      </c>
      <c r="M28" s="53" t="s">
        <v>206</v>
      </c>
      <c r="N28" s="54">
        <v>0.15</v>
      </c>
      <c r="O28" s="50" t="s">
        <v>432</v>
      </c>
    </row>
    <row r="29" spans="1:15" ht="15" customHeight="1" x14ac:dyDescent="0.25">
      <c r="A29" s="50" t="s">
        <v>131</v>
      </c>
      <c r="B29" s="50" t="s">
        <v>433</v>
      </c>
      <c r="C29" s="50" t="s">
        <v>434</v>
      </c>
      <c r="D29" s="50" t="s">
        <v>435</v>
      </c>
      <c r="E29" s="50">
        <v>66.41</v>
      </c>
      <c r="F29" s="50">
        <v>99.61</v>
      </c>
      <c r="G29" s="50" t="s">
        <v>409</v>
      </c>
      <c r="H29" s="50">
        <v>69.73</v>
      </c>
      <c r="I29" s="50">
        <v>73.05</v>
      </c>
      <c r="J29" s="50">
        <v>78.03</v>
      </c>
      <c r="K29" s="50">
        <v>81.349999999999994</v>
      </c>
      <c r="L29" s="50">
        <v>83.01</v>
      </c>
      <c r="M29" s="53" t="s">
        <v>433</v>
      </c>
      <c r="N29" s="54">
        <v>0.2</v>
      </c>
      <c r="O29" s="50" t="s">
        <v>435</v>
      </c>
    </row>
    <row r="30" spans="1:15" ht="30" customHeight="1" x14ac:dyDescent="0.25">
      <c r="A30" s="50" t="s">
        <v>131</v>
      </c>
      <c r="B30" s="50" t="s">
        <v>195</v>
      </c>
      <c r="C30" s="50" t="s">
        <v>436</v>
      </c>
      <c r="D30" s="50" t="s">
        <v>437</v>
      </c>
      <c r="E30" s="50">
        <v>55.37</v>
      </c>
      <c r="F30" s="50">
        <v>83.05</v>
      </c>
      <c r="G30" s="50" t="s">
        <v>409</v>
      </c>
      <c r="H30" s="50">
        <v>58.14</v>
      </c>
      <c r="I30" s="50">
        <v>60.91</v>
      </c>
      <c r="J30" s="50">
        <v>65.06</v>
      </c>
      <c r="K30" s="50">
        <v>67.83</v>
      </c>
      <c r="L30" s="50">
        <v>69.209999999999994</v>
      </c>
      <c r="M30" s="53" t="s">
        <v>195</v>
      </c>
      <c r="N30" s="54">
        <v>0.15</v>
      </c>
      <c r="O30" s="50" t="s">
        <v>437</v>
      </c>
    </row>
    <row r="31" spans="1:15" ht="30" customHeight="1" x14ac:dyDescent="0.25">
      <c r="A31" s="50" t="s">
        <v>131</v>
      </c>
      <c r="B31" s="50" t="s">
        <v>438</v>
      </c>
      <c r="C31" s="50" t="s">
        <v>438</v>
      </c>
      <c r="D31" s="50" t="s">
        <v>439</v>
      </c>
      <c r="E31" s="50">
        <v>62.94</v>
      </c>
      <c r="F31" s="50">
        <v>18.88</v>
      </c>
      <c r="G31" s="50" t="s">
        <v>373</v>
      </c>
      <c r="H31" s="50">
        <v>56.65</v>
      </c>
      <c r="I31" s="50">
        <v>50.35</v>
      </c>
      <c r="J31" s="50">
        <v>40.909999999999997</v>
      </c>
      <c r="K31" s="50">
        <v>34.619999999999997</v>
      </c>
      <c r="L31" s="50">
        <v>31.47</v>
      </c>
      <c r="M31" s="53" t="s">
        <v>438</v>
      </c>
      <c r="N31" s="54">
        <v>0.1</v>
      </c>
      <c r="O31" s="50" t="s">
        <v>439</v>
      </c>
    </row>
    <row r="32" spans="1:15" ht="30" customHeight="1" x14ac:dyDescent="0.25">
      <c r="A32" s="50" t="s">
        <v>131</v>
      </c>
      <c r="B32" s="50" t="s">
        <v>440</v>
      </c>
      <c r="C32" s="50" t="s">
        <v>441</v>
      </c>
      <c r="D32" s="50" t="s">
        <v>442</v>
      </c>
      <c r="E32" s="50">
        <v>63.82</v>
      </c>
      <c r="F32" s="50">
        <v>19.149999999999999</v>
      </c>
      <c r="G32" s="50" t="s">
        <v>373</v>
      </c>
      <c r="H32" s="50">
        <v>57.44</v>
      </c>
      <c r="I32" s="50">
        <v>51.06</v>
      </c>
      <c r="J32" s="50">
        <v>41.48</v>
      </c>
      <c r="K32" s="50">
        <v>35.1</v>
      </c>
      <c r="L32" s="50">
        <v>31.91</v>
      </c>
      <c r="M32" s="53" t="s">
        <v>440</v>
      </c>
      <c r="N32" s="54">
        <v>0.1</v>
      </c>
      <c r="O32" s="50" t="s">
        <v>442</v>
      </c>
    </row>
    <row r="33" spans="1:15" ht="15" customHeight="1" x14ac:dyDescent="0.25">
      <c r="A33" s="50" t="s">
        <v>131</v>
      </c>
      <c r="B33" s="50" t="s">
        <v>197</v>
      </c>
      <c r="C33" s="50" t="s">
        <v>443</v>
      </c>
      <c r="D33" s="50" t="s">
        <v>444</v>
      </c>
      <c r="E33" s="50">
        <v>59.72</v>
      </c>
      <c r="F33" s="50">
        <v>17.920000000000002</v>
      </c>
      <c r="G33" s="50" t="s">
        <v>373</v>
      </c>
      <c r="H33" s="50">
        <v>53.75</v>
      </c>
      <c r="I33" s="50">
        <v>47.78</v>
      </c>
      <c r="J33" s="50">
        <v>38.82</v>
      </c>
      <c r="K33" s="50">
        <v>32.85</v>
      </c>
      <c r="L33" s="50">
        <v>29.86</v>
      </c>
      <c r="M33" s="53" t="s">
        <v>197</v>
      </c>
      <c r="N33" s="54">
        <v>0.25</v>
      </c>
      <c r="O33" s="50" t="s">
        <v>444</v>
      </c>
    </row>
    <row r="34" spans="1:15" ht="30" customHeight="1" x14ac:dyDescent="0.25">
      <c r="A34" s="50" t="s">
        <v>131</v>
      </c>
      <c r="B34" s="50" t="s">
        <v>445</v>
      </c>
      <c r="C34" s="50" t="s">
        <v>446</v>
      </c>
      <c r="D34" s="50" t="s">
        <v>447</v>
      </c>
      <c r="E34" s="50">
        <v>60.08</v>
      </c>
      <c r="F34" s="50">
        <v>18.02</v>
      </c>
      <c r="G34" s="50" t="s">
        <v>373</v>
      </c>
      <c r="H34" s="50">
        <v>54.07</v>
      </c>
      <c r="I34" s="50">
        <v>48.06</v>
      </c>
      <c r="J34" s="50">
        <v>39.049999999999997</v>
      </c>
      <c r="K34" s="50">
        <v>33.04</v>
      </c>
      <c r="L34" s="50">
        <v>30.04</v>
      </c>
      <c r="M34" s="53" t="s">
        <v>445</v>
      </c>
      <c r="N34" s="54">
        <v>0.2</v>
      </c>
      <c r="O34" s="50" t="s">
        <v>447</v>
      </c>
    </row>
    <row r="35" spans="1:15" ht="15" customHeight="1" x14ac:dyDescent="0.25">
      <c r="A35" s="50"/>
      <c r="B35" s="50"/>
      <c r="C35" s="50"/>
      <c r="D35" s="50"/>
      <c r="E35" s="50"/>
      <c r="F35" s="50"/>
      <c r="G35" s="50"/>
      <c r="H35" s="50"/>
      <c r="I35" s="50"/>
      <c r="J35" s="50"/>
      <c r="K35" s="50"/>
      <c r="L35" s="50"/>
      <c r="M35" s="50"/>
      <c r="N35" s="50"/>
      <c r="O35" s="50"/>
    </row>
    <row r="36" spans="1:15" ht="15" customHeight="1" x14ac:dyDescent="0.25">
      <c r="A36" s="50"/>
      <c r="B36" s="50"/>
      <c r="C36" s="50"/>
      <c r="D36" s="50"/>
      <c r="E36" s="50"/>
      <c r="F36" s="50"/>
      <c r="G36" s="50"/>
      <c r="H36" s="50"/>
      <c r="I36" s="50"/>
      <c r="J36" s="50"/>
      <c r="K36" s="50"/>
      <c r="L36" s="50"/>
      <c r="M36" s="55"/>
      <c r="N36" s="52"/>
      <c r="O36" s="50"/>
    </row>
  </sheetData>
  <sheetProtection password="EBB1" sheet="1" formatColumns="0" formatRows="0" sort="0" autoFilter="0"/>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zoomScaleNormal="100" workbookViewId="0">
      <selection activeCell="F1" sqref="F1"/>
    </sheetView>
  </sheetViews>
  <sheetFormatPr defaultColWidth="8.7109375" defaultRowHeight="15" x14ac:dyDescent="0.25"/>
  <cols>
    <col min="3" max="3" width="28.140625" style="15" customWidth="1"/>
    <col min="4" max="4" width="45.28515625" style="15" customWidth="1"/>
  </cols>
  <sheetData>
    <row r="1" spans="1:13" ht="15" customHeight="1" x14ac:dyDescent="0.25">
      <c r="A1" s="15" t="s">
        <v>364</v>
      </c>
      <c r="B1" s="15" t="s">
        <v>365</v>
      </c>
      <c r="C1" s="15" t="s">
        <v>366</v>
      </c>
      <c r="D1" s="15" t="s">
        <v>367</v>
      </c>
      <c r="E1" s="15" t="s">
        <v>219</v>
      </c>
      <c r="F1" s="15" t="s">
        <v>220</v>
      </c>
      <c r="G1" s="15" t="s">
        <v>368</v>
      </c>
      <c r="H1" s="15" t="s">
        <v>228</v>
      </c>
      <c r="I1" s="15" t="s">
        <v>229</v>
      </c>
      <c r="J1" s="15" t="s">
        <v>230</v>
      </c>
      <c r="K1" s="15" t="s">
        <v>231</v>
      </c>
      <c r="L1" s="15" t="s">
        <v>232</v>
      </c>
      <c r="M1" s="15" t="s">
        <v>448</v>
      </c>
    </row>
    <row r="2" spans="1:13" ht="15" customHeight="1" x14ac:dyDescent="0.25">
      <c r="A2" s="15" t="str">
        <f>'1_Input_5_обстежень_'!A2</f>
        <v>Pain</v>
      </c>
      <c r="B2" s="15" t="str">
        <f>'1_Input_5_обстежень_'!B2</f>
        <v>VAS</v>
      </c>
      <c r="C2" s="15" t="str">
        <f>'1_Input_5_обстежень_'!C2</f>
        <v>Visual Analog Scale</v>
      </c>
      <c r="D2" s="15" t="str">
        <f>'1_Input_5_обстежень_'!D2</f>
        <v>Візуально-аналогова шкала болю; суб’єктивна оцінка інтенсивності болю</v>
      </c>
      <c r="E2" s="15">
        <f>'1_Input_5_обстежень_'!E2</f>
        <v>76.39</v>
      </c>
      <c r="F2" s="15">
        <f>'1_Input_5_обстежень_'!F2</f>
        <v>22.92</v>
      </c>
      <c r="G2" s="15" t="str">
        <f>'1_Input_5_обстежень_'!G2</f>
        <v>↓ добре</v>
      </c>
      <c r="H2" s="15">
        <f>IF(G2="↓ добре",MAX(0,MIN(1,(E2-'1_Input_5_обстежень_'!H2)/(E2-F2))),MAX(0,MIN(1,('1_Input_5_обстежень_'!H2-E2)/(F2-E2))))</f>
        <v>0.14288386010847207</v>
      </c>
      <c r="I2" s="15">
        <f>IF(G2="↓ добре",MAX(0,MIN(1,(E2-'1_Input_5_обстежень_'!I2)/(E2-F2))),MAX(0,MIN(1,('1_Input_5_обстежень_'!I2-E2)/(F2-E2))))</f>
        <v>0.28576772021694413</v>
      </c>
      <c r="J2" s="15">
        <f>IF(G2="↓ добре",MAX(0,MIN(1,(E2-'1_Input_5_обстежень_'!J2)/(E2-F2))),MAX(0,MIN(1,('1_Input_5_обстежень_'!J2-E2)/(F2-E2))))</f>
        <v>0.50009351037965222</v>
      </c>
      <c r="K2" s="15">
        <f>IF(G2="↓ добре",MAX(0,MIN(1,(E2-'1_Input_5_обстежень_'!K2)/(E2-F2))),MAX(0,MIN(1,('1_Input_5_обстежень_'!K2-E2)/(F2-E2))))</f>
        <v>0.6429773704881242</v>
      </c>
      <c r="L2" s="15">
        <f>IF(G2="↓ добре",MAX(0,MIN(1,(E2-'1_Input_5_обстежень_'!L2)/(E2-F2))),MAX(0,MIN(1,('1_Input_5_обстежень_'!L2-E2)/(F2-E2))))</f>
        <v>0.71423227978305592</v>
      </c>
      <c r="M2" s="57">
        <f>'1_Input_5_обстежень_'!N2</f>
        <v>0.2</v>
      </c>
    </row>
    <row r="3" spans="1:13" ht="15" customHeight="1" x14ac:dyDescent="0.25">
      <c r="A3" s="15" t="str">
        <f>'1_Input_5_обстежень_'!A3</f>
        <v>Pain</v>
      </c>
      <c r="B3" s="15" t="str">
        <f>'1_Input_5_обстежень_'!B3</f>
        <v>NRS</v>
      </c>
      <c r="C3" s="15" t="str">
        <f>'1_Input_5_обстежень_'!C3</f>
        <v>Numeric Rating Scale</v>
      </c>
      <c r="D3" s="15" t="str">
        <f>'1_Input_5_обстежень_'!D3</f>
        <v>Числова рейтингова шкала болю</v>
      </c>
      <c r="E3" s="15">
        <f>'1_Input_5_обстежень_'!E3</f>
        <v>73.59</v>
      </c>
      <c r="F3" s="15">
        <f>'1_Input_5_обстежень_'!F3</f>
        <v>22.08</v>
      </c>
      <c r="G3" s="15" t="str">
        <f>'1_Input_5_обстежень_'!G3</f>
        <v>↓ добре</v>
      </c>
      <c r="H3" s="15">
        <f>IF(G3="↓ добре",MAX(0,MIN(1,(E3-'1_Input_5_обстежень_'!H3)/(E3-F3))),MAX(0,MIN(1,('1_Input_5_обстежень_'!H3-E3)/(F3-E3))))</f>
        <v>0.14288487672296638</v>
      </c>
      <c r="I3" s="15">
        <f>IF(G3="↓ добре",MAX(0,MIN(1,(E3-'1_Input_5_обстежень_'!I3)/(E3-F3))),MAX(0,MIN(1,('1_Input_5_обстежень_'!I3-E3)/(F3-E3))))</f>
        <v>0.28576975344593292</v>
      </c>
      <c r="J3" s="15">
        <f>IF(G3="↓ добре",MAX(0,MIN(1,(E3-'1_Input_5_обстежень_'!J3)/(E3-F3))),MAX(0,MIN(1,('1_Input_5_обстежень_'!J3-E3)/(F3-E3))))</f>
        <v>0.50009706853038249</v>
      </c>
      <c r="K3" s="15">
        <f>IF(G3="↓ добре",MAX(0,MIN(1,(E3-'1_Input_5_обстежень_'!K3)/(E3-F3))),MAX(0,MIN(1,('1_Input_5_обстежень_'!K3-E3)/(F3-E3))))</f>
        <v>0.64298194525334884</v>
      </c>
      <c r="L3" s="15">
        <f>IF(G3="↓ добре",MAX(0,MIN(1,(E3-'1_Input_5_обстежень_'!L3)/(E3-F3))),MAX(0,MIN(1,('1_Input_5_обстежень_'!L3-E3)/(F3-E3))))</f>
        <v>0.71423024655406719</v>
      </c>
      <c r="M3" s="57">
        <f>'1_Input_5_обстежень_'!N3</f>
        <v>0.15</v>
      </c>
    </row>
    <row r="4" spans="1:13" ht="15" customHeight="1" x14ac:dyDescent="0.25">
      <c r="A4" s="15" t="str">
        <f>'1_Input_5_обстежень_'!A4</f>
        <v>Pain</v>
      </c>
      <c r="B4" s="15" t="str">
        <f>'1_Input_5_обстежень_'!B4</f>
        <v>BPI</v>
      </c>
      <c r="C4" s="15" t="str">
        <f>'1_Input_5_обстежень_'!C4</f>
        <v>Brief Pain Inventory</v>
      </c>
      <c r="D4" s="15" t="str">
        <f>'1_Input_5_обстежень_'!D4</f>
        <v>Вплив болю на функціонування</v>
      </c>
      <c r="E4" s="15">
        <f>'1_Input_5_обстежень_'!E4</f>
        <v>54.99</v>
      </c>
      <c r="F4" s="15">
        <f>'1_Input_5_обстежень_'!F4</f>
        <v>16.5</v>
      </c>
      <c r="G4" s="15" t="str">
        <f>'1_Input_5_обстежень_'!G4</f>
        <v>↓ добре</v>
      </c>
      <c r="H4" s="15">
        <f>IF(G4="↓ добре",MAX(0,MIN(1,(E4-'1_Input_5_обстежень_'!H4)/(E4-F4))),MAX(0,MIN(1,('1_Input_5_обстежень_'!H4-E4)/(F4-E4))))</f>
        <v>0.14289425824889582</v>
      </c>
      <c r="I4" s="15">
        <f>IF(G4="↓ добре",MAX(0,MIN(1,(E4-'1_Input_5_обстежень_'!I4)/(E4-F4))),MAX(0,MIN(1,('1_Input_5_обстежень_'!I4-E4)/(F4-E4))))</f>
        <v>0.28578851649779163</v>
      </c>
      <c r="J4" s="15">
        <f>IF(G4="↓ добре",MAX(0,MIN(1,(E4-'1_Input_5_обстежень_'!J4)/(E4-F4))),MAX(0,MIN(1,('1_Input_5_обстежень_'!J4-E4)/(F4-E4))))</f>
        <v>0.50012990387113532</v>
      </c>
      <c r="K4" s="15">
        <f>IF(G4="↓ добре",MAX(0,MIN(1,(E4-'1_Input_5_обстежень_'!K4)/(E4-F4))),MAX(0,MIN(1,('1_Input_5_обстежень_'!K4-E4)/(F4-E4))))</f>
        <v>0.64302416212003122</v>
      </c>
      <c r="L4" s="15">
        <f>IF(G4="↓ добре",MAX(0,MIN(1,(E4-'1_Input_5_обстежень_'!L4)/(E4-F4))),MAX(0,MIN(1,('1_Input_5_обстежень_'!L4-E4)/(F4-E4))))</f>
        <v>0.71421148350220842</v>
      </c>
      <c r="M4" s="57">
        <f>'1_Input_5_обстежень_'!N4</f>
        <v>0.2</v>
      </c>
    </row>
    <row r="5" spans="1:13" ht="15" customHeight="1" x14ac:dyDescent="0.25">
      <c r="A5" s="15" t="str">
        <f>'1_Input_5_обстежень_'!A5</f>
        <v>Pain</v>
      </c>
      <c r="B5" s="15" t="str">
        <f>'1_Input_5_обстежень_'!B5</f>
        <v>DN4</v>
      </c>
      <c r="C5" s="15" t="str">
        <f>'1_Input_5_обстежень_'!C5</f>
        <v>Douleur Neuropathique 4</v>
      </c>
      <c r="D5" s="15" t="str">
        <f>'1_Input_5_обстежень_'!D5</f>
        <v>Скринінг нейропатичного болю</v>
      </c>
      <c r="E5" s="15">
        <f>'1_Input_5_обстежень_'!E5</f>
        <v>44.58</v>
      </c>
      <c r="F5" s="15">
        <f>'1_Input_5_обстежень_'!F5</f>
        <v>13.37</v>
      </c>
      <c r="G5" s="15" t="str">
        <f>'1_Input_5_обстежень_'!G5</f>
        <v>↓ добре</v>
      </c>
      <c r="H5" s="15">
        <f>IF(G5="↓ добре",MAX(0,MIN(1,(E5-'1_Input_5_обстежень_'!H5)/(E5-F5))),MAX(0,MIN(1,('1_Input_5_обстежень_'!H5-E5)/(F5-E5))))</f>
        <v>0.14290291573213715</v>
      </c>
      <c r="I5" s="15">
        <f>IF(G5="↓ добре",MAX(0,MIN(1,(E5-'1_Input_5_обстежень_'!I5)/(E5-F5))),MAX(0,MIN(1,('1_Input_5_обстежень_'!I5-E5)/(F5-E5))))</f>
        <v>0.2858058314642743</v>
      </c>
      <c r="J5" s="15">
        <f>IF(G5="↓ добре",MAX(0,MIN(1,(E5-'1_Input_5_обстежень_'!J5)/(E5-F5))),MAX(0,MIN(1,('1_Input_5_обстежень_'!J5-E5)/(F5-E5))))</f>
        <v>0.49983979493751995</v>
      </c>
      <c r="K5" s="15">
        <f>IF(G5="↓ добре",MAX(0,MIN(1,(E5-'1_Input_5_обстежень_'!K5)/(E5-F5))),MAX(0,MIN(1,('1_Input_5_обстежень_'!K5-E5)/(F5-E5))))</f>
        <v>0.64274271066965716</v>
      </c>
      <c r="L5" s="15">
        <f>IF(G5="↓ добре",MAX(0,MIN(1,(E5-'1_Input_5_обстежень_'!L5)/(E5-F5))),MAX(0,MIN(1,('1_Input_5_обстежень_'!L5-E5)/(F5-E5))))</f>
        <v>0.7141941685357257</v>
      </c>
      <c r="M5" s="57">
        <f>'1_Input_5_обстежень_'!N5</f>
        <v>0.1</v>
      </c>
    </row>
    <row r="6" spans="1:13" ht="15" customHeight="1" x14ac:dyDescent="0.25">
      <c r="A6" s="15" t="str">
        <f>'1_Input_5_обстежень_'!A6</f>
        <v>Pain</v>
      </c>
      <c r="B6" s="15" t="str">
        <f>'1_Input_5_обстежень_'!B6</f>
        <v>PainDETECT</v>
      </c>
      <c r="C6" s="15" t="str">
        <f>'1_Input_5_обстежень_'!C6</f>
        <v>PainDETECT Questionnaire</v>
      </c>
      <c r="D6" s="15" t="str">
        <f>'1_Input_5_обстежень_'!D6</f>
        <v>Ймовірність нейропатичного компоненту болю</v>
      </c>
      <c r="E6" s="15">
        <f>'1_Input_5_обстежень_'!E6</f>
        <v>73.2</v>
      </c>
      <c r="F6" s="15">
        <f>'1_Input_5_обстежень_'!F6</f>
        <v>21.96</v>
      </c>
      <c r="G6" s="15" t="str">
        <f>'1_Input_5_обстежень_'!G6</f>
        <v>↓ добре</v>
      </c>
      <c r="H6" s="15">
        <f>IF(G6="↓ добре",MAX(0,MIN(1,(E6-'1_Input_5_обстежень_'!H6)/(E6-F6))),MAX(0,MIN(1,('1_Input_5_обстежень_'!H6-E6)/(F6-E6))))</f>
        <v>0.14285714285714299</v>
      </c>
      <c r="I6" s="15">
        <f>IF(G6="↓ добре",MAX(0,MIN(1,(E6-'1_Input_5_обстежень_'!I6)/(E6-F6))),MAX(0,MIN(1,('1_Input_5_обстежень_'!I6-E6)/(F6-E6))))</f>
        <v>0.2857142857142857</v>
      </c>
      <c r="J6" s="15">
        <f>IF(G6="↓ добре",MAX(0,MIN(1,(E6-'1_Input_5_обстежень_'!J6)/(E6-F6))),MAX(0,MIN(1,('1_Input_5_обстежень_'!J6-E6)/(F6-E6))))</f>
        <v>0.50000000000000011</v>
      </c>
      <c r="K6" s="15">
        <f>IF(G6="↓ добре",MAX(0,MIN(1,(E6-'1_Input_5_обстежень_'!K6)/(E6-F6))),MAX(0,MIN(1,('1_Input_5_обстежень_'!K6-E6)/(F6-E6))))</f>
        <v>0.6428571428571429</v>
      </c>
      <c r="L6" s="15">
        <f>IF(G6="↓ добре",MAX(0,MIN(1,(E6-'1_Input_5_обстежень_'!L6)/(E6-F6))),MAX(0,MIN(1,('1_Input_5_обстежень_'!L6-E6)/(F6-E6))))</f>
        <v>0.7142857142857143</v>
      </c>
      <c r="M6" s="57">
        <f>'1_Input_5_обстежень_'!N6</f>
        <v>0.1</v>
      </c>
    </row>
    <row r="7" spans="1:13" ht="15" customHeight="1" x14ac:dyDescent="0.25">
      <c r="A7" s="15" t="str">
        <f>'1_Input_5_обстежень_'!A7</f>
        <v>Pain</v>
      </c>
      <c r="B7" s="15" t="str">
        <f>'1_Input_5_обстежень_'!B7</f>
        <v>NPSI</v>
      </c>
      <c r="C7" s="15" t="str">
        <f>'1_Input_5_обстежень_'!C7</f>
        <v>Neuropathic Pain Symptom Inventory</v>
      </c>
      <c r="D7" s="15" t="str">
        <f>'1_Input_5_обстежень_'!D7</f>
        <v>Структура нейропатичного болю</v>
      </c>
      <c r="E7" s="15">
        <f>'1_Input_5_обстежень_'!E7</f>
        <v>52.14</v>
      </c>
      <c r="F7" s="15">
        <f>'1_Input_5_обстежень_'!F7</f>
        <v>15.64</v>
      </c>
      <c r="G7" s="15" t="str">
        <f>'1_Input_5_обстежень_'!G7</f>
        <v>↓ добре</v>
      </c>
      <c r="H7" s="15">
        <f>IF(G7="↓ добре",MAX(0,MIN(1,(E7-'1_Input_5_обстежень_'!H7)/(E7-F7))),MAX(0,MIN(1,('1_Input_5_обстежень_'!H7-E7)/(F7-E7))))</f>
        <v>0.14273972602739729</v>
      </c>
      <c r="I7" s="15">
        <f>IF(G7="↓ добре",MAX(0,MIN(1,(E7-'1_Input_5_обстежень_'!I7)/(E7-F7))),MAX(0,MIN(1,('1_Input_5_обстежень_'!I7-E7)/(F7-E7))))</f>
        <v>0.28575342465753423</v>
      </c>
      <c r="J7" s="15">
        <f>IF(G7="↓ добре",MAX(0,MIN(1,(E7-'1_Input_5_обстежень_'!J7)/(E7-F7))),MAX(0,MIN(1,('1_Input_5_обстежень_'!J7-E7)/(F7-E7))))</f>
        <v>0.5</v>
      </c>
      <c r="K7" s="15">
        <f>IF(G7="↓ добре",MAX(0,MIN(1,(E7-'1_Input_5_обстежень_'!K7)/(E7-F7))),MAX(0,MIN(1,('1_Input_5_обстежень_'!K7-E7)/(F7-E7))))</f>
        <v>0.64273972602739726</v>
      </c>
      <c r="L7" s="15">
        <f>IF(G7="↓ добре",MAX(0,MIN(1,(E7-'1_Input_5_обстежень_'!L7)/(E7-F7))),MAX(0,MIN(1,('1_Input_5_обстежень_'!L7-E7)/(F7-E7))))</f>
        <v>0.71424657534246572</v>
      </c>
      <c r="M7" s="57">
        <f>'1_Input_5_обстежень_'!N7</f>
        <v>0.15</v>
      </c>
    </row>
    <row r="8" spans="1:13" ht="15" customHeight="1" x14ac:dyDescent="0.25">
      <c r="A8" s="15" t="str">
        <f>'1_Input_5_обстежень_'!A8</f>
        <v>Pain</v>
      </c>
      <c r="B8" s="15" t="str">
        <f>'1_Input_5_обстежень_'!B8</f>
        <v>PainDuration</v>
      </c>
      <c r="C8" s="15" t="str">
        <f>'1_Input_5_обстежень_'!C8</f>
        <v>Pain Duration</v>
      </c>
      <c r="D8" s="15" t="str">
        <f>'1_Input_5_обстежень_'!D8</f>
        <v>Тривалість хронічного болю</v>
      </c>
      <c r="E8" s="15">
        <f>'1_Input_5_обстежень_'!E8</f>
        <v>66.31</v>
      </c>
      <c r="F8" s="15">
        <f>'1_Input_5_обстежень_'!F8</f>
        <v>19.89</v>
      </c>
      <c r="G8" s="15" t="str">
        <f>'1_Input_5_обстежень_'!G8</f>
        <v>↓ добре</v>
      </c>
      <c r="H8" s="15">
        <f>IF(G8="↓ добре",MAX(0,MIN(1,(E8-'1_Input_5_обстежень_'!H8)/(E8-F8))),MAX(0,MIN(1,('1_Input_5_обстежень_'!H8-E8)/(F8-E8))))</f>
        <v>0.1428263679448514</v>
      </c>
      <c r="I8" s="15">
        <f>IF(G8="↓ добре",MAX(0,MIN(1,(E8-'1_Input_5_обстежень_'!I8)/(E8-F8))),MAX(0,MIN(1,('1_Input_5_обстежень_'!I8-E8)/(F8-E8))))</f>
        <v>0.2856527358897028</v>
      </c>
      <c r="J8" s="15">
        <f>IF(G8="↓ добре",MAX(0,MIN(1,(E8-'1_Input_5_обстежень_'!J8)/(E8-F8))),MAX(0,MIN(1,('1_Input_5_обстежень_'!J8-E8)/(F8-E8))))</f>
        <v>0.5</v>
      </c>
      <c r="K8" s="15">
        <f>IF(G8="↓ добре",MAX(0,MIN(1,(E8-'1_Input_5_обстежень_'!K8)/(E8-F8))),MAX(0,MIN(1,('1_Input_5_обстежень_'!K8-E8)/(F8-E8))))</f>
        <v>0.64282636794485137</v>
      </c>
      <c r="L8" s="15">
        <f>IF(G8="↓ добре",MAX(0,MIN(1,(E8-'1_Input_5_обстежень_'!L8)/(E8-F8))),MAX(0,MIN(1,('1_Input_5_обстежень_'!L8-E8)/(F8-E8))))</f>
        <v>0.71413183972425687</v>
      </c>
      <c r="M8" s="57">
        <f>'1_Input_5_обстежень_'!N8</f>
        <v>0.1</v>
      </c>
    </row>
    <row r="9" spans="1:13" ht="15" customHeight="1" x14ac:dyDescent="0.25">
      <c r="A9" s="15" t="str">
        <f>'1_Input_5_обстежень_'!A9</f>
        <v>Neuro</v>
      </c>
      <c r="B9" s="15" t="str">
        <f>'1_Input_5_обстежень_'!B9</f>
        <v>CSI</v>
      </c>
      <c r="C9" s="15" t="str">
        <f>'1_Input_5_обстежень_'!C9</f>
        <v>Central Sensitization Inventory</v>
      </c>
      <c r="D9" s="15" t="str">
        <f>'1_Input_5_обстежень_'!D9</f>
        <v>Ознаки центральної сенситизації</v>
      </c>
      <c r="E9" s="15">
        <f>'1_Input_5_обстежень_'!E9</f>
        <v>62.76</v>
      </c>
      <c r="F9" s="15">
        <f>'1_Input_5_обстежень_'!F9</f>
        <v>18.829999999999998</v>
      </c>
      <c r="G9" s="15" t="str">
        <f>'1_Input_5_обстежень_'!G9</f>
        <v>↓ добре</v>
      </c>
      <c r="H9" s="15">
        <f>IF(G9="↓ добре",MAX(0,MIN(1,(E9-'1_Input_5_обстежень_'!H9)/(E9-F9))),MAX(0,MIN(1,('1_Input_5_обстежень_'!H9-E9)/(F9-E9))))</f>
        <v>0.14295470066014115</v>
      </c>
      <c r="I9" s="15">
        <f>IF(G9="↓ добре",MAX(0,MIN(1,(E9-'1_Input_5_обстежень_'!I9)/(E9-F9))),MAX(0,MIN(1,('1_Input_5_обстежень_'!I9-E9)/(F9-E9))))</f>
        <v>0.28568176644661958</v>
      </c>
      <c r="J9" s="15">
        <f>IF(G9="↓ добре",MAX(0,MIN(1,(E9-'1_Input_5_обстежень_'!J9)/(E9-F9))),MAX(0,MIN(1,('1_Input_5_обстежень_'!J9-E9)/(F9-E9))))</f>
        <v>0.50011381743683125</v>
      </c>
      <c r="K9" s="15">
        <f>IF(G9="↓ добре",MAX(0,MIN(1,(E9-'1_Input_5_обстежень_'!K9)/(E9-F9))),MAX(0,MIN(1,('1_Input_5_обстежень_'!K9-E9)/(F9-E9))))</f>
        <v>0.64284088322330968</v>
      </c>
      <c r="L9" s="15">
        <f>IF(G9="↓ добре",MAX(0,MIN(1,(E9-'1_Input_5_обстежень_'!L9)/(E9-F9))),MAX(0,MIN(1,('1_Input_5_обстежень_'!L9-E9)/(F9-E9))))</f>
        <v>0.71431823355338031</v>
      </c>
      <c r="M9" s="57">
        <f>'1_Input_5_обстежень_'!N9</f>
        <v>0.15</v>
      </c>
    </row>
    <row r="10" spans="1:13" ht="15" customHeight="1" x14ac:dyDescent="0.25">
      <c r="A10" s="15" t="str">
        <f>'1_Input_5_обстежень_'!A10</f>
        <v>Neuro</v>
      </c>
      <c r="B10" s="15" t="str">
        <f>'1_Input_5_обстежень_'!B10</f>
        <v>PCS</v>
      </c>
      <c r="C10" s="15" t="str">
        <f>'1_Input_5_обстежень_'!C10</f>
        <v>Pain Catastrophizing Scale</v>
      </c>
      <c r="D10" s="15" t="str">
        <f>'1_Input_5_обстежень_'!D10</f>
        <v>Катастрофізація болю</v>
      </c>
      <c r="E10" s="15">
        <f>'1_Input_5_обстежень_'!E10</f>
        <v>65.83</v>
      </c>
      <c r="F10" s="15">
        <f>'1_Input_5_обстежень_'!F10</f>
        <v>19.75</v>
      </c>
      <c r="G10" s="15" t="str">
        <f>'1_Input_5_обстежень_'!G10</f>
        <v>↓ добре</v>
      </c>
      <c r="H10" s="15">
        <f>IF(G10="↓ добре",MAX(0,MIN(1,(E10-'1_Input_5_обстежень_'!H10)/(E10-F10))),MAX(0,MIN(1,('1_Input_5_обстежень_'!H10-E10)/(F10-E10))))</f>
        <v>0.14279513888888887</v>
      </c>
      <c r="I10" s="15">
        <f>IF(G10="↓ добре",MAX(0,MIN(1,(E10-'1_Input_5_обстежень_'!I10)/(E10-F10))),MAX(0,MIN(1,('1_Input_5_обстежень_'!I10-E10)/(F10-E10))))</f>
        <v>0.28580729166666674</v>
      </c>
      <c r="J10" s="15">
        <f>IF(G10="↓ добре",MAX(0,MIN(1,(E10-'1_Input_5_обстежень_'!J10)/(E10-F10))),MAX(0,MIN(1,('1_Input_5_обстежень_'!J10-E10)/(F10-E10))))</f>
        <v>0.5</v>
      </c>
      <c r="K10" s="15">
        <f>IF(G10="↓ добре",MAX(0,MIN(1,(E10-'1_Input_5_обстежень_'!K10)/(E10-F10))),MAX(0,MIN(1,('1_Input_5_обстежень_'!K10-E10)/(F10-E10))))</f>
        <v>0.64279513888888884</v>
      </c>
      <c r="L10" s="15">
        <f>IF(G10="↓ добре",MAX(0,MIN(1,(E10-'1_Input_5_обстежень_'!L10)/(E10-F10))),MAX(0,MIN(1,('1_Input_5_обстежень_'!L10-E10)/(F10-E10))))</f>
        <v>0.71440972222222232</v>
      </c>
      <c r="M10" s="57">
        <f>'1_Input_5_обстежень_'!N10</f>
        <v>0.22999999999999998</v>
      </c>
    </row>
    <row r="11" spans="1:13" ht="15" customHeight="1" x14ac:dyDescent="0.25">
      <c r="A11" s="15" t="str">
        <f>'1_Input_5_обстежень_'!A11</f>
        <v>Neuro</v>
      </c>
      <c r="B11" s="15" t="str">
        <f>'1_Input_5_обстежень_'!B11</f>
        <v>HADS_A</v>
      </c>
      <c r="C11" s="15" t="str">
        <f>'1_Input_5_обстежень_'!C11</f>
        <v>Hospital Anxiety Scale</v>
      </c>
      <c r="D11" s="15" t="str">
        <f>'1_Input_5_обстежень_'!D11</f>
        <v>Тривожність</v>
      </c>
      <c r="E11" s="15">
        <f>'1_Input_5_обстежень_'!E11</f>
        <v>78.5</v>
      </c>
      <c r="F11" s="15">
        <f>'1_Input_5_обстежень_'!F11</f>
        <v>23.55</v>
      </c>
      <c r="G11" s="15" t="str">
        <f>'1_Input_5_обстежень_'!G11</f>
        <v>↓ добре</v>
      </c>
      <c r="H11" s="15">
        <f>IF(G11="↓ добре",MAX(0,MIN(1,(E11-'1_Input_5_обстежень_'!H11)/(E11-F11))),MAX(0,MIN(1,('1_Input_5_обстежень_'!H11-E11)/(F11-E11))))</f>
        <v>0.14285714285714274</v>
      </c>
      <c r="I11" s="15">
        <f>IF(G11="↓ добре",MAX(0,MIN(1,(E11-'1_Input_5_обстежень_'!I11)/(E11-F11))),MAX(0,MIN(1,('1_Input_5_обстежень_'!I11-E11)/(F11-E11))))</f>
        <v>0.28571428571428575</v>
      </c>
      <c r="J11" s="15">
        <f>IF(G11="↓ добре",MAX(0,MIN(1,(E11-'1_Input_5_обстежень_'!J11)/(E11-F11))),MAX(0,MIN(1,('1_Input_5_обстежень_'!J11-E11)/(F11-E11))))</f>
        <v>0.50009099181073691</v>
      </c>
      <c r="K11" s="15">
        <f>IF(G11="↓ добре",MAX(0,MIN(1,(E11-'1_Input_5_обстежень_'!K11)/(E11-F11))),MAX(0,MIN(1,('1_Input_5_обстежень_'!K11-E11)/(F11-E11))))</f>
        <v>0.64276615104640578</v>
      </c>
      <c r="L11" s="15">
        <f>IF(G11="↓ добре",MAX(0,MIN(1,(E11-'1_Input_5_обстежень_'!L11)/(E11-F11))),MAX(0,MIN(1,('1_Input_5_обстежень_'!L11-E11)/(F11-E11))))</f>
        <v>0.7142857142857143</v>
      </c>
      <c r="M11" s="57">
        <f>'1_Input_5_обстежень_'!N11</f>
        <v>0.1</v>
      </c>
    </row>
    <row r="12" spans="1:13" ht="15" customHeight="1" x14ac:dyDescent="0.25">
      <c r="A12" s="15" t="str">
        <f>'1_Input_5_обстежень_'!A12</f>
        <v>Neuro</v>
      </c>
      <c r="B12" s="15" t="str">
        <f>'1_Input_5_обстежень_'!B12</f>
        <v>HADS_D</v>
      </c>
      <c r="C12" s="15" t="str">
        <f>'1_Input_5_обстежень_'!C12</f>
        <v>Hospital Depression Scale</v>
      </c>
      <c r="D12" s="15" t="str">
        <f>'1_Input_5_обстежень_'!D12</f>
        <v>Депресія</v>
      </c>
      <c r="E12" s="15">
        <f>'1_Input_5_обстежень_'!E12</f>
        <v>73.05</v>
      </c>
      <c r="F12" s="15">
        <f>'1_Input_5_обстежень_'!F12</f>
        <v>21.91</v>
      </c>
      <c r="G12" s="15" t="str">
        <f>'1_Input_5_обстежень_'!G12</f>
        <v>↓ добре</v>
      </c>
      <c r="H12" s="15">
        <f>IF(G12="↓ добре",MAX(0,MIN(1,(E12-'1_Input_5_обстежень_'!H12)/(E12-F12))),MAX(0,MIN(1,('1_Input_5_обстежень_'!H12-E12)/(F12-E12))))</f>
        <v>0.14274540477121622</v>
      </c>
      <c r="I12" s="15">
        <f>IF(G12="↓ добре",MAX(0,MIN(1,(E12-'1_Input_5_обстежень_'!I12)/(E12-F12))),MAX(0,MIN(1,('1_Input_5_обстежень_'!I12-E12)/(F12-E12))))</f>
        <v>0.28568635119280406</v>
      </c>
      <c r="J12" s="15">
        <f>IF(G12="↓ добре",MAX(0,MIN(1,(E12-'1_Input_5_обстежень_'!J12)/(E12-F12))),MAX(0,MIN(1,('1_Input_5_обстежень_'!J12-E12)/(F12-E12))))</f>
        <v>0.5</v>
      </c>
      <c r="K12" s="15">
        <f>IF(G12="↓ добре",MAX(0,MIN(1,(E12-'1_Input_5_обстежень_'!K12)/(E12-F12))),MAX(0,MIN(1,('1_Input_5_обстежень_'!K12-E12)/(F12-E12))))</f>
        <v>0.64274540477121622</v>
      </c>
      <c r="L12" s="15">
        <f>IF(G12="↓ добре",MAX(0,MIN(1,(E12-'1_Input_5_обстежень_'!L12)/(E12-F12))),MAX(0,MIN(1,('1_Input_5_обстежень_'!L12-E12)/(F12-E12))))</f>
        <v>0.71431364880719583</v>
      </c>
      <c r="M12" s="57">
        <f>'1_Input_5_обстежень_'!N12</f>
        <v>0.1</v>
      </c>
    </row>
    <row r="13" spans="1:13" ht="15" customHeight="1" x14ac:dyDescent="0.25">
      <c r="A13" s="15" t="str">
        <f>'1_Input_5_обстежень_'!A13</f>
        <v>Neuro</v>
      </c>
      <c r="B13" s="15" t="str">
        <f>'1_Input_5_обстежень_'!B13</f>
        <v>PCL5</v>
      </c>
      <c r="C13" s="15" t="str">
        <f>'1_Input_5_обстежень_'!C13</f>
        <v>PTSD Checklist DSM-5</v>
      </c>
      <c r="D13" s="15" t="str">
        <f>'1_Input_5_обстежень_'!D13</f>
        <v>Вираженість ПТСР</v>
      </c>
      <c r="E13" s="15">
        <f>'1_Input_5_обстежень_'!E13</f>
        <v>65.28</v>
      </c>
      <c r="F13" s="15">
        <f>'1_Input_5_обстежень_'!F13</f>
        <v>19.579999999999998</v>
      </c>
      <c r="G13" s="15" t="str">
        <f>'1_Input_5_обстежень_'!G13</f>
        <v>↓ добре</v>
      </c>
      <c r="H13" s="15">
        <f>IF(G13="↓ добре",MAX(0,MIN(1,(E13-'1_Input_5_обстежень_'!H13)/(E13-F13))),MAX(0,MIN(1,('1_Input_5_обстежень_'!H13-E13)/(F13-E13))))</f>
        <v>0.14288840262582059</v>
      </c>
      <c r="I13" s="15">
        <f>IF(G13="↓ добре",MAX(0,MIN(1,(E13-'1_Input_5_обстежень_'!I13)/(E13-F13))),MAX(0,MIN(1,('1_Input_5_обстежень_'!I13-E13)/(F13-E13))))</f>
        <v>0.28577680525164117</v>
      </c>
      <c r="J13" s="15">
        <f>IF(G13="↓ добре",MAX(0,MIN(1,(E13-'1_Input_5_обстежень_'!J13)/(E13-F13))),MAX(0,MIN(1,('1_Input_5_обстежень_'!J13-E13)/(F13-E13))))</f>
        <v>0.5</v>
      </c>
      <c r="K13" s="15">
        <f>IF(G13="↓ добре",MAX(0,MIN(1,(E13-'1_Input_5_обстежень_'!K13)/(E13-F13))),MAX(0,MIN(1,('1_Input_5_обстежень_'!K13-E13)/(F13-E13))))</f>
        <v>0.64288840262582059</v>
      </c>
      <c r="L13" s="15">
        <f>IF(G13="↓ добре",MAX(0,MIN(1,(E13-'1_Input_5_обстежень_'!L13)/(E13-F13))),MAX(0,MIN(1,('1_Input_5_обстежень_'!L13-E13)/(F13-E13))))</f>
        <v>0.71422319474835883</v>
      </c>
      <c r="M13" s="57">
        <f>'1_Input_5_обстежень_'!N13</f>
        <v>0.18</v>
      </c>
    </row>
    <row r="14" spans="1:13" ht="15" customHeight="1" x14ac:dyDescent="0.25">
      <c r="A14" s="15" t="str">
        <f>'1_Input_5_обстежень_'!A14</f>
        <v>Neuro</v>
      </c>
      <c r="B14" s="15" t="str">
        <f>'1_Input_5_обстежень_'!B14</f>
        <v>PSS</v>
      </c>
      <c r="C14" s="15" t="str">
        <f>'1_Input_5_обстежень_'!C14</f>
        <v>Perceived Stress Scale</v>
      </c>
      <c r="D14" s="15" t="str">
        <f>'1_Input_5_обстежень_'!D14</f>
        <v>Сприйнятий стрес</v>
      </c>
      <c r="E14" s="15">
        <f>'1_Input_5_обстежень_'!E14</f>
        <v>52.31</v>
      </c>
      <c r="F14" s="15">
        <f>'1_Input_5_обстежень_'!F14</f>
        <v>15.69</v>
      </c>
      <c r="G14" s="15" t="str">
        <f>'1_Input_5_обстежень_'!G14</f>
        <v>↓ добре</v>
      </c>
      <c r="H14" s="15">
        <f>IF(G14="↓ добре",MAX(0,MIN(1,(E14-'1_Input_5_обстежень_'!H14)/(E14-F14))),MAX(0,MIN(1,('1_Input_5_обстежень_'!H14-E14)/(F14-E14))))</f>
        <v>0.14281813216821418</v>
      </c>
      <c r="I14" s="15">
        <f>IF(G14="↓ добре",MAX(0,MIN(1,(E14-'1_Input_5_обстежень_'!I14)/(E14-F14))),MAX(0,MIN(1,('1_Input_5_обстежень_'!I14-E14)/(F14-E14))))</f>
        <v>0.28563626433642819</v>
      </c>
      <c r="J14" s="15">
        <f>IF(G14="↓ добре",MAX(0,MIN(1,(E14-'1_Input_5_обстежень_'!J14)/(E14-F14))),MAX(0,MIN(1,('1_Input_5_обстежень_'!J14-E14)/(F14-E14))))</f>
        <v>0.5</v>
      </c>
      <c r="K14" s="15">
        <f>IF(G14="↓ добре",MAX(0,MIN(1,(E14-'1_Input_5_обстежень_'!K14)/(E14-F14))),MAX(0,MIN(1,('1_Input_5_обстежень_'!K14-E14)/(F14-E14))))</f>
        <v>0.64281813216821404</v>
      </c>
      <c r="L14" s="15">
        <f>IF(G14="↓ добре",MAX(0,MIN(1,(E14-'1_Input_5_обстежень_'!L14)/(E14-F14))),MAX(0,MIN(1,('1_Input_5_обстежень_'!L14-E14)/(F14-E14))))</f>
        <v>0.71409066084107042</v>
      </c>
      <c r="M14" s="57">
        <f>'1_Input_5_обстежень_'!N14</f>
        <v>0.08</v>
      </c>
    </row>
    <row r="15" spans="1:13" ht="15" customHeight="1" x14ac:dyDescent="0.25">
      <c r="A15" s="15" t="str">
        <f>'1_Input_5_обстежень_'!A15</f>
        <v>Neuro</v>
      </c>
      <c r="B15" s="15" t="str">
        <f>'1_Input_5_обстежень_'!B15</f>
        <v>FSS</v>
      </c>
      <c r="C15" s="15" t="str">
        <f>'1_Input_5_обстежень_'!C15</f>
        <v>Fatigue Severity Scale</v>
      </c>
      <c r="D15" s="15" t="str">
        <f>'1_Input_5_обстежень_'!D15</f>
        <v>Втома</v>
      </c>
      <c r="E15" s="15">
        <f>'1_Input_5_обстежень_'!E15</f>
        <v>41.94</v>
      </c>
      <c r="F15" s="15">
        <f>'1_Input_5_обстежень_'!F15</f>
        <v>12.58</v>
      </c>
      <c r="G15" s="15" t="str">
        <f>'1_Input_5_обстежень_'!G15</f>
        <v>↓ добре</v>
      </c>
      <c r="H15" s="15">
        <f>IF(G15="↓ добре",MAX(0,MIN(1,(E15-'1_Input_5_обстежень_'!H15)/(E15-F15))),MAX(0,MIN(1,('1_Input_5_обстежень_'!H15-E15)/(F15-E15))))</f>
        <v>0.14271117166212527</v>
      </c>
      <c r="I15" s="15">
        <f>IF(G15="↓ добре",MAX(0,MIN(1,(E15-'1_Input_5_обстежень_'!I15)/(E15-F15))),MAX(0,MIN(1,('1_Input_5_обстежень_'!I15-E15)/(F15-E15))))</f>
        <v>0.2857629427792916</v>
      </c>
      <c r="J15" s="15">
        <f>IF(G15="↓ добре",MAX(0,MIN(1,(E15-'1_Input_5_обстежень_'!J15)/(E15-F15))),MAX(0,MIN(1,('1_Input_5_обстежень_'!J15-E15)/(F15-E15))))</f>
        <v>0.49999999999999989</v>
      </c>
      <c r="K15" s="15">
        <f>IF(G15="↓ добре",MAX(0,MIN(1,(E15-'1_Input_5_обстежень_'!K15)/(E15-F15))),MAX(0,MIN(1,('1_Input_5_обстежень_'!K15-E15)/(F15-E15))))</f>
        <v>0.64271117166212521</v>
      </c>
      <c r="L15" s="15">
        <f>IF(G15="↓ добре",MAX(0,MIN(1,(E15-'1_Input_5_обстежень_'!L15)/(E15-F15))),MAX(0,MIN(1,('1_Input_5_обстежень_'!L15-E15)/(F15-E15))))</f>
        <v>0.7142370572207084</v>
      </c>
      <c r="M15" s="57">
        <f>'1_Input_5_обстежень_'!N15</f>
        <v>0.08</v>
      </c>
    </row>
    <row r="16" spans="1:13" ht="15" customHeight="1" x14ac:dyDescent="0.25">
      <c r="A16" s="15" t="str">
        <f>'1_Input_5_обстежень_'!A16</f>
        <v>Neuro</v>
      </c>
      <c r="B16" s="15" t="str">
        <f>'1_Input_5_обстежень_'!B16</f>
        <v>PSQI</v>
      </c>
      <c r="C16" s="15" t="str">
        <f>'1_Input_5_обстежень_'!C16</f>
        <v>Pittsburgh Sleep Quality Index</v>
      </c>
      <c r="D16" s="15" t="str">
        <f>'1_Input_5_обстежень_'!D16</f>
        <v>Якість сну</v>
      </c>
      <c r="E16" s="15">
        <f>'1_Input_5_обстежень_'!E16</f>
        <v>73.040000000000006</v>
      </c>
      <c r="F16" s="15">
        <f>'1_Input_5_обстежень_'!F16</f>
        <v>21.91</v>
      </c>
      <c r="G16" s="15" t="str">
        <f>'1_Input_5_обстежень_'!G16</f>
        <v>↓ добре</v>
      </c>
      <c r="H16" s="15">
        <f>IF(G16="↓ добре",MAX(0,MIN(1,(E16-'1_Input_5_обстежень_'!H16)/(E16-F16))),MAX(0,MIN(1,('1_Input_5_обстежень_'!H16-E16)/(F16-E16))))</f>
        <v>0.14277332290240582</v>
      </c>
      <c r="I16" s="15">
        <f>IF(G16="↓ добре",MAX(0,MIN(1,(E16-'1_Input_5_обстежень_'!I16)/(E16-F16))),MAX(0,MIN(1,('1_Input_5_обстежень_'!I16-E16)/(F16-E16))))</f>
        <v>0.28574222569919822</v>
      </c>
      <c r="J16" s="15">
        <f>IF(G16="↓ добре",MAX(0,MIN(1,(E16-'1_Input_5_обстежень_'!J16)/(E16-F16))),MAX(0,MIN(1,('1_Input_5_обстежень_'!J16-E16)/(F16-E16))))</f>
        <v>0.49990221005280666</v>
      </c>
      <c r="K16" s="15">
        <f>IF(G16="↓ добре",MAX(0,MIN(1,(E16-'1_Input_5_обстежень_'!K16)/(E16-F16))),MAX(0,MIN(1,('1_Input_5_обстежень_'!K16-E16)/(F16-E16))))</f>
        <v>0.64287111284959908</v>
      </c>
      <c r="L16" s="15">
        <f>IF(G16="↓ добре",MAX(0,MIN(1,(E16-'1_Input_5_обстежень_'!L16)/(E16-F16))),MAX(0,MIN(1,('1_Input_5_обстежень_'!L16-E16)/(F16-E16))))</f>
        <v>0.71425777430080184</v>
      </c>
      <c r="M16" s="57">
        <f>'1_Input_5_обстежень_'!N16</f>
        <v>0.08</v>
      </c>
    </row>
    <row r="17" spans="1:13" ht="15" customHeight="1" x14ac:dyDescent="0.25">
      <c r="A17" s="15" t="str">
        <f>'1_Input_5_обстежень_'!A17</f>
        <v>ANS</v>
      </c>
      <c r="B17" s="15" t="str">
        <f>'1_Input_5_обстежень_'!B17</f>
        <v>HRV</v>
      </c>
      <c r="C17" s="15" t="str">
        <f>'1_Input_5_обстежень_'!C17</f>
        <v>Heart Rate Variability</v>
      </c>
      <c r="D17" s="15" t="str">
        <f>'1_Input_5_обстежень_'!D17</f>
        <v>Варіабельність серцевого ритму</v>
      </c>
      <c r="E17" s="15">
        <f>'1_Input_5_обстежень_'!E17</f>
        <v>52.18</v>
      </c>
      <c r="F17" s="15">
        <f>'1_Input_5_обстежень_'!F17</f>
        <v>78.27</v>
      </c>
      <c r="G17" s="15" t="str">
        <f>'1_Input_5_обстежень_'!G17</f>
        <v>↑ добре</v>
      </c>
      <c r="H17" s="15">
        <f>IF(G17="↓ добре",MAX(0,MIN(1,(E17-'1_Input_5_обстежень_'!H17)/(E17-F17))),MAX(0,MIN(1,('1_Input_5_обстежень_'!H17-E17)/(F17-E17))))</f>
        <v>0.1000383288616328</v>
      </c>
      <c r="I17" s="15">
        <f>IF(G17="↓ добре",MAX(0,MIN(1,(E17-'1_Input_5_обстежень_'!I17)/(E17-F17))),MAX(0,MIN(1,('1_Input_5_обстежень_'!I17-E17)/(F17-E17))))</f>
        <v>0.20007665772326561</v>
      </c>
      <c r="J17" s="15">
        <f>IF(G17="↓ добре",MAX(0,MIN(1,(E17-'1_Input_5_обстежень_'!J17)/(E17-F17))),MAX(0,MIN(1,('1_Input_5_обстежень_'!J17-E17)/(F17-E17))))</f>
        <v>0.34994250670755095</v>
      </c>
      <c r="K17" s="15">
        <f>IF(G17="↓ добре",MAX(0,MIN(1,(E17-'1_Input_5_обстежень_'!K17)/(E17-F17))),MAX(0,MIN(1,('1_Input_5_обстежень_'!K17-E17)/(F17-E17))))</f>
        <v>0.44998083556918372</v>
      </c>
      <c r="L17" s="15">
        <f>IF(G17="↓ добре",MAX(0,MIN(1,(E17-'1_Input_5_обстежень_'!L17)/(E17-F17))),MAX(0,MIN(1,('1_Input_5_обстежень_'!L17-E17)/(F17-E17))))</f>
        <v>0.49980835569183601</v>
      </c>
      <c r="M17" s="57">
        <f>'1_Input_5_обстежень_'!N17</f>
        <v>0.2</v>
      </c>
    </row>
    <row r="18" spans="1:13" ht="15" customHeight="1" x14ac:dyDescent="0.25">
      <c r="A18" s="15" t="str">
        <f>'1_Input_5_обстежень_'!A18</f>
        <v>ANS</v>
      </c>
      <c r="B18" s="15" t="str">
        <f>'1_Input_5_обстежень_'!B18</f>
        <v>RMSSD</v>
      </c>
      <c r="C18" s="15" t="str">
        <f>'1_Input_5_обстежень_'!C18</f>
        <v>RMSSD</v>
      </c>
      <c r="D18" s="15" t="str">
        <f>'1_Input_5_обстежень_'!D18</f>
        <v>Парасимпатична активність</v>
      </c>
      <c r="E18" s="15">
        <f>'1_Input_5_обстежень_'!E18</f>
        <v>63.77</v>
      </c>
      <c r="F18" s="15">
        <f>'1_Input_5_обстежень_'!F18</f>
        <v>95.66</v>
      </c>
      <c r="G18" s="15" t="str">
        <f>'1_Input_5_обстежень_'!G18</f>
        <v>↑ добре</v>
      </c>
      <c r="H18" s="15">
        <f>IF(G18="↓ добре",MAX(0,MIN(1,(E18-'1_Input_5_обстежень_'!H18)/(E18-F18))),MAX(0,MIN(1,('1_Input_5_обстежень_'!H18-E18)/(F18-E18))))</f>
        <v>0.10003135779241114</v>
      </c>
      <c r="I18" s="15">
        <f>IF(G18="↓ добре",MAX(0,MIN(1,(E18-'1_Input_5_обстежень_'!I18)/(E18-F18))),MAX(0,MIN(1,('1_Input_5_обстежень_'!I18-E18)/(F18-E18))))</f>
        <v>0.20006271558482294</v>
      </c>
      <c r="J18" s="15">
        <f>IF(G18="↓ добре",MAX(0,MIN(1,(E18-'1_Input_5_обстежень_'!J18)/(E18-F18))),MAX(0,MIN(1,('1_Input_5_обстежень_'!J18-E18)/(F18-E18))))</f>
        <v>0.34995296331138309</v>
      </c>
      <c r="K18" s="15">
        <f>IF(G18="↓ добре",MAX(0,MIN(1,(E18-'1_Input_5_обстежень_'!K18)/(E18-F18))),MAX(0,MIN(1,('1_Input_5_обстежень_'!K18-E18)/(F18-E18))))</f>
        <v>0.44998432110379444</v>
      </c>
      <c r="L18" s="15">
        <f>IF(G18="↓ добре",MAX(0,MIN(1,(E18-'1_Input_5_обстежень_'!L18)/(E18-F18))),MAX(0,MIN(1,('1_Input_5_обстежень_'!L18-E18)/(F18-E18))))</f>
        <v>0.50015678896205706</v>
      </c>
      <c r="M18" s="57">
        <f>'1_Input_5_обстежень_'!N18</f>
        <v>0.2</v>
      </c>
    </row>
    <row r="19" spans="1:13" ht="15" customHeight="1" x14ac:dyDescent="0.25">
      <c r="A19" s="15" t="str">
        <f>'1_Input_5_обстежень_'!A19</f>
        <v>ANS</v>
      </c>
      <c r="B19" s="15" t="str">
        <f>'1_Input_5_обстежень_'!B19</f>
        <v>SDNN</v>
      </c>
      <c r="C19" s="15" t="str">
        <f>'1_Input_5_обстежень_'!C19</f>
        <v>SDNN</v>
      </c>
      <c r="D19" s="15" t="str">
        <f>'1_Input_5_обстежень_'!D19</f>
        <v>Загальна автономна регуляція</v>
      </c>
      <c r="E19" s="15">
        <f>'1_Input_5_обстежень_'!E19</f>
        <v>79.27</v>
      </c>
      <c r="F19" s="15">
        <f>'1_Input_5_обстежень_'!F19</f>
        <v>118.91</v>
      </c>
      <c r="G19" s="15" t="str">
        <f>'1_Input_5_обстежень_'!G19</f>
        <v>↑ добре</v>
      </c>
      <c r="H19" s="15">
        <f>IF(G19="↓ добре",MAX(0,MIN(1,(E19-'1_Input_5_обстежень_'!H19)/(E19-F19))),MAX(0,MIN(1,('1_Input_5_обстежень_'!H19-E19)/(F19-E19))))</f>
        <v>9.9899091826438136E-2</v>
      </c>
      <c r="I19" s="15">
        <f>IF(G19="↓ добре",MAX(0,MIN(1,(E19-'1_Input_5_обстежень_'!I19)/(E19-F19))),MAX(0,MIN(1,('1_Input_5_обстежень_'!I19-E19)/(F19-E19))))</f>
        <v>0.20005045408678121</v>
      </c>
      <c r="J19" s="15">
        <f>IF(G19="↓ добре",MAX(0,MIN(1,(E19-'1_Input_5_обстежень_'!J19)/(E19-F19))),MAX(0,MIN(1,('1_Input_5_обстежень_'!J19-E19)/(F19-E19))))</f>
        <v>0.34989909182643802</v>
      </c>
      <c r="K19" s="15">
        <f>IF(G19="↓ добре",MAX(0,MIN(1,(E19-'1_Input_5_обстежень_'!K19)/(E19-F19))),MAX(0,MIN(1,('1_Input_5_обстежень_'!K19-E19)/(F19-E19))))</f>
        <v>0.45005045408678113</v>
      </c>
      <c r="L19" s="15">
        <f>IF(G19="↓ добре",MAX(0,MIN(1,(E19-'1_Input_5_обстежень_'!L19)/(E19-F19))),MAX(0,MIN(1,('1_Input_5_обстежень_'!L19-E19)/(F19-E19))))</f>
        <v>0.50000000000000022</v>
      </c>
      <c r="M19" s="57">
        <f>'1_Input_5_обстежень_'!N19</f>
        <v>0.2</v>
      </c>
    </row>
    <row r="20" spans="1:13" ht="15" customHeight="1" x14ac:dyDescent="0.25">
      <c r="A20" s="15" t="str">
        <f>'1_Input_5_обстежень_'!A20</f>
        <v>ANS</v>
      </c>
      <c r="B20" s="15" t="str">
        <f>'1_Input_5_обстежень_'!B20</f>
        <v>LFHF</v>
      </c>
      <c r="C20" s="15" t="str">
        <f>'1_Input_5_обстежень_'!C20</f>
        <v>LF/HF Ratio</v>
      </c>
      <c r="D20" s="15" t="str">
        <f>'1_Input_5_обстежень_'!D20</f>
        <v>Симпато-вагальний баланс</v>
      </c>
      <c r="E20" s="15">
        <f>'1_Input_5_обстежень_'!E20</f>
        <v>68.78</v>
      </c>
      <c r="F20" s="15">
        <f>'1_Input_5_обстежень_'!F20</f>
        <v>20.63</v>
      </c>
      <c r="G20" s="15" t="str">
        <f>'1_Input_5_обстежень_'!G20</f>
        <v>↓ добре</v>
      </c>
      <c r="H20" s="15">
        <f>IF(G20="↓ добре",MAX(0,MIN(1,(E20-'1_Input_5_обстежень_'!H20)/(E20-F20))),MAX(0,MIN(1,('1_Input_5_обстежень_'!H20-E20)/(F20-E20))))</f>
        <v>0.14288681204569059</v>
      </c>
      <c r="I20" s="15">
        <f>IF(G20="↓ добре",MAX(0,MIN(1,(E20-'1_Input_5_обстежень_'!I20)/(E20-F20))),MAX(0,MIN(1,('1_Input_5_обстежень_'!I20-E20)/(F20-E20))))</f>
        <v>0.28577362409138102</v>
      </c>
      <c r="J20" s="15">
        <f>IF(G20="↓ добре",MAX(0,MIN(1,(E20-'1_Input_5_обстежень_'!J20)/(E20-F20))),MAX(0,MIN(1,('1_Input_5_обстежень_'!J20-E20)/(F20-E20))))</f>
        <v>0.49989615784008301</v>
      </c>
      <c r="K20" s="15">
        <f>IF(G20="↓ добре",MAX(0,MIN(1,(E20-'1_Input_5_обстежень_'!K20)/(E20-F20))),MAX(0,MIN(1,('1_Input_5_обстежень_'!K20-E20)/(F20-E20))))</f>
        <v>0.64278296988577366</v>
      </c>
      <c r="L20" s="15">
        <f>IF(G20="↓ добре",MAX(0,MIN(1,(E20-'1_Input_5_обстежень_'!L20)/(E20-F20))),MAX(0,MIN(1,('1_Input_5_обстежень_'!L20-E20)/(F20-E20))))</f>
        <v>0.71422637590861882</v>
      </c>
      <c r="M20" s="57">
        <f>'1_Input_5_обстежень_'!N20</f>
        <v>0.15</v>
      </c>
    </row>
    <row r="21" spans="1:13" ht="15" customHeight="1" x14ac:dyDescent="0.25">
      <c r="A21" s="15" t="str">
        <f>'1_Input_5_обстежень_'!A21</f>
        <v>ANS</v>
      </c>
      <c r="B21" s="15" t="str">
        <f>'1_Input_5_обстежень_'!B21</f>
        <v>HR</v>
      </c>
      <c r="C21" s="15" t="str">
        <f>'1_Input_5_обстежень_'!C21</f>
        <v>Heart Rate</v>
      </c>
      <c r="D21" s="15" t="str">
        <f>'1_Input_5_обстежень_'!D21</f>
        <v>Частота серцевих скорочень</v>
      </c>
      <c r="E21" s="15">
        <f>'1_Input_5_обстежень_'!E21</f>
        <v>44.34</v>
      </c>
      <c r="F21" s="15">
        <f>'1_Input_5_обстежень_'!F21</f>
        <v>13.3</v>
      </c>
      <c r="G21" s="15" t="str">
        <f>'1_Input_5_обстежень_'!G21</f>
        <v>↓ добре</v>
      </c>
      <c r="H21" s="15">
        <f>IF(G21="↓ добре",MAX(0,MIN(1,(E21-'1_Input_5_обстежень_'!H21)/(E21-F21))),MAX(0,MIN(1,('1_Input_5_обстежень_'!H21-E21)/(F21-E21))))</f>
        <v>0.14271907216494867</v>
      </c>
      <c r="I21" s="15">
        <f>IF(G21="↓ добре",MAX(0,MIN(1,(E21-'1_Input_5_обстежень_'!I21)/(E21-F21))),MAX(0,MIN(1,('1_Input_5_обстежень_'!I21-E21)/(F21-E21))))</f>
        <v>0.28576030927835061</v>
      </c>
      <c r="J21" s="15">
        <f>IF(G21="↓ добре",MAX(0,MIN(1,(E21-'1_Input_5_обстежень_'!J21)/(E21-F21))),MAX(0,MIN(1,('1_Input_5_обстежень_'!J21-E21)/(F21-E21))))</f>
        <v>0.50000000000000011</v>
      </c>
      <c r="K21" s="15">
        <f>IF(G21="↓ добре",MAX(0,MIN(1,(E21-'1_Input_5_обстежень_'!K21)/(E21-F21))),MAX(0,MIN(1,('1_Input_5_обстежень_'!K21-E21)/(F21-E21))))</f>
        <v>0.6427190721649485</v>
      </c>
      <c r="L21" s="15">
        <f>IF(G21="↓ добре",MAX(0,MIN(1,(E21-'1_Input_5_обстежень_'!L21)/(E21-F21))),MAX(0,MIN(1,('1_Input_5_обстежень_'!L21-E21)/(F21-E21))))</f>
        <v>0.7142396907216495</v>
      </c>
      <c r="M21" s="57">
        <f>'1_Input_5_обстежень_'!N21</f>
        <v>0.1</v>
      </c>
    </row>
    <row r="22" spans="1:13" ht="15" customHeight="1" x14ac:dyDescent="0.25">
      <c r="A22" s="15" t="str">
        <f>'1_Input_5_обстежень_'!A22</f>
        <v>ANS</v>
      </c>
      <c r="B22" s="15" t="str">
        <f>'1_Input_5_обстежень_'!B22</f>
        <v>BP</v>
      </c>
      <c r="C22" s="15" t="str">
        <f>'1_Input_5_обстежень_'!C22</f>
        <v>Blood Pressure Index</v>
      </c>
      <c r="D22" s="15" t="str">
        <f>'1_Input_5_обстежень_'!D22</f>
        <v>Артеріальний тиск</v>
      </c>
      <c r="E22" s="15">
        <f>'1_Input_5_обстежень_'!E22</f>
        <v>59.27</v>
      </c>
      <c r="F22" s="15">
        <f>'1_Input_5_обстежень_'!F22</f>
        <v>17.78</v>
      </c>
      <c r="G22" s="15" t="str">
        <f>'1_Input_5_обстежень_'!G22</f>
        <v>↓ добре</v>
      </c>
      <c r="H22" s="15">
        <f>IF(G22="↓ добре",MAX(0,MIN(1,(E22-'1_Input_5_обстежень_'!H22)/(E22-F22))),MAX(0,MIN(1,('1_Input_5_обстежень_'!H22-E22)/(F22-E22))))</f>
        <v>0.14292600626657023</v>
      </c>
      <c r="I22" s="15">
        <f>IF(G22="↓ добре",MAX(0,MIN(1,(E22-'1_Input_5_обстежень_'!I22)/(E22-F22))),MAX(0,MIN(1,('1_Input_5_обстежень_'!I22-E22)/(F22-E22))))</f>
        <v>0.28561099060014461</v>
      </c>
      <c r="J22" s="15">
        <f>IF(G22="↓ добре",MAX(0,MIN(1,(E22-'1_Input_5_обстежень_'!J22)/(E22-F22))),MAX(0,MIN(1,('1_Input_5_обстежень_'!J22-E22)/(F22-E22))))</f>
        <v>0.4998794890335021</v>
      </c>
      <c r="K22" s="15">
        <f>IF(G22="↓ добре",MAX(0,MIN(1,(E22-'1_Input_5_обстежень_'!K22)/(E22-F22))),MAX(0,MIN(1,('1_Input_5_обстежень_'!K22-E22)/(F22-E22))))</f>
        <v>0.64280549530007236</v>
      </c>
      <c r="L22" s="15">
        <f>IF(G22="↓ добре",MAX(0,MIN(1,(E22-'1_Input_5_обстежень_'!L22)/(E22-F22))),MAX(0,MIN(1,('1_Input_5_обстежень_'!L22-E22)/(F22-E22))))</f>
        <v>0.71414798746685948</v>
      </c>
      <c r="M22" s="57">
        <f>'1_Input_5_обстежень_'!N22</f>
        <v>0.15</v>
      </c>
    </row>
    <row r="23" spans="1:13" ht="15" customHeight="1" x14ac:dyDescent="0.25">
      <c r="A23" s="15" t="str">
        <f>'1_Input_5_обстежень_'!A23</f>
        <v>Function</v>
      </c>
      <c r="B23" s="15" t="str">
        <f>'1_Input_5_обстежень_'!B23</f>
        <v>ROM</v>
      </c>
      <c r="C23" s="15" t="str">
        <f>'1_Input_5_обстежень_'!C23</f>
        <v>Range of Motion</v>
      </c>
      <c r="D23" s="15" t="str">
        <f>'1_Input_5_обстежень_'!D23</f>
        <v>Обсяг рухів</v>
      </c>
      <c r="E23" s="15">
        <f>'1_Input_5_обстежень_'!E23</f>
        <v>76.489999999999995</v>
      </c>
      <c r="F23" s="15">
        <f>'1_Input_5_обстежень_'!F23</f>
        <v>114.73</v>
      </c>
      <c r="G23" s="15" t="str">
        <f>'1_Input_5_обстежень_'!G23</f>
        <v>↑ добре</v>
      </c>
      <c r="H23" s="15">
        <f>IF(G23="↓ добре",MAX(0,MIN(1,(E23-'1_Input_5_обстежень_'!H23)/(E23-F23))),MAX(0,MIN(1,('1_Input_5_обстежень_'!H23-E23)/(F23-E23))))</f>
        <v>9.9895397489539919E-2</v>
      </c>
      <c r="I23" s="15">
        <f>IF(G23="↓ добре",MAX(0,MIN(1,(E23-'1_Input_5_обстежень_'!I23)/(E23-F23))),MAX(0,MIN(1,('1_Input_5_обстежень_'!I23-E23)/(F23-E23))))</f>
        <v>0.20005230125523021</v>
      </c>
      <c r="J23" s="15">
        <f>IF(G23="↓ добре",MAX(0,MIN(1,(E23-'1_Input_5_обстежень_'!J23)/(E23-F23))),MAX(0,MIN(1,('1_Input_5_обстежень_'!J23-E23)/(F23-E23))))</f>
        <v>0.34989539748953991</v>
      </c>
      <c r="K23" s="15">
        <f>IF(G23="↓ добре",MAX(0,MIN(1,(E23-'1_Input_5_обстежень_'!K23)/(E23-F23))),MAX(0,MIN(1,('1_Input_5_обстежень_'!K23-E23)/(F23-E23))))</f>
        <v>0.45005230125523021</v>
      </c>
      <c r="L23" s="15">
        <f>IF(G23="↓ добре",MAX(0,MIN(1,(E23-'1_Input_5_обстежень_'!L23)/(E23-F23))),MAX(0,MIN(1,('1_Input_5_обстежень_'!L23-E23)/(F23-E23))))</f>
        <v>0.5</v>
      </c>
      <c r="M23" s="57">
        <f>'1_Input_5_обстежень_'!N23</f>
        <v>0.15</v>
      </c>
    </row>
    <row r="24" spans="1:13" ht="15" customHeight="1" x14ac:dyDescent="0.25">
      <c r="A24" s="15" t="str">
        <f>'1_Input_5_обстежень_'!A24</f>
        <v>Function</v>
      </c>
      <c r="B24" s="15" t="str">
        <f>'1_Input_5_обстежень_'!B24</f>
        <v>6MWT</v>
      </c>
      <c r="C24" s="15" t="str">
        <f>'1_Input_5_обстежень_'!C24</f>
        <v>6 Minute Walk Test</v>
      </c>
      <c r="D24" s="15" t="str">
        <f>'1_Input_5_обстежень_'!D24</f>
        <v>Толерантність до навантаження</v>
      </c>
      <c r="E24" s="15">
        <f>'1_Input_5_обстежень_'!E24</f>
        <v>71.819999999999993</v>
      </c>
      <c r="F24" s="15">
        <f>'1_Input_5_обстежень_'!F24</f>
        <v>107.73</v>
      </c>
      <c r="G24" s="15" t="str">
        <f>'1_Input_5_обстежень_'!G24</f>
        <v>↑ добре</v>
      </c>
      <c r="H24" s="15">
        <f>IF(G24="↓ добре",MAX(0,MIN(1,(E24-'1_Input_5_обстежень_'!H24)/(E24-F24))),MAX(0,MIN(1,('1_Input_5_обстежень_'!H24-E24)/(F24-E24))))</f>
        <v>9.9972152603731615E-2</v>
      </c>
      <c r="I24" s="15">
        <f>IF(G24="↓ добре",MAX(0,MIN(1,(E24-'1_Input_5_обстежень_'!I24)/(E24-F24))),MAX(0,MIN(1,('1_Input_5_обстежень_'!I24-E24)/(F24-E24))))</f>
        <v>0.19994430520746323</v>
      </c>
      <c r="J24" s="15">
        <f>IF(G24="↓ добре",MAX(0,MIN(1,(E24-'1_Input_5_обстежень_'!J24)/(E24-F24))),MAX(0,MIN(1,('1_Input_5_обстежень_'!J24-E24)/(F24-E24))))</f>
        <v>0.35004177109440276</v>
      </c>
      <c r="K24" s="15">
        <f>IF(G24="↓ добре",MAX(0,MIN(1,(E24-'1_Input_5_обстежень_'!K24)/(E24-F24))),MAX(0,MIN(1,('1_Input_5_обстежень_'!K24-E24)/(F24-E24))))</f>
        <v>0.45001392369813437</v>
      </c>
      <c r="L24" s="15">
        <f>IF(G24="↓ добре",MAX(0,MIN(1,(E24-'1_Input_5_обстежень_'!L24)/(E24-F24))),MAX(0,MIN(1,('1_Input_5_обстежень_'!L24-E24)/(F24-E24))))</f>
        <v>0.50013923698134233</v>
      </c>
      <c r="M24" s="57">
        <f>'1_Input_5_обстежень_'!N24</f>
        <v>0.2</v>
      </c>
    </row>
    <row r="25" spans="1:13" ht="15" customHeight="1" x14ac:dyDescent="0.25">
      <c r="A25" s="15" t="str">
        <f>'1_Input_5_обстежень_'!A25</f>
        <v>Function</v>
      </c>
      <c r="B25" s="15" t="str">
        <f>'1_Input_5_обстежень_'!B25</f>
        <v>TUG</v>
      </c>
      <c r="C25" s="15" t="str">
        <f>'1_Input_5_обстежень_'!C25</f>
        <v>Timed Up and Go</v>
      </c>
      <c r="D25" s="15" t="str">
        <f>'1_Input_5_обстежень_'!D25</f>
        <v>Мобільність та ризик падінь</v>
      </c>
      <c r="E25" s="15">
        <f>'1_Input_5_обстежень_'!E25</f>
        <v>79.09</v>
      </c>
      <c r="F25" s="15">
        <f>'1_Input_5_обстежень_'!F25</f>
        <v>23.73</v>
      </c>
      <c r="G25" s="15" t="str">
        <f>'1_Input_5_обстежень_'!G25</f>
        <v>↓ добре</v>
      </c>
      <c r="H25" s="15">
        <f>IF(G25="↓ добре",MAX(0,MIN(1,(E25-'1_Input_5_обстежень_'!H25)/(E25-F25))),MAX(0,MIN(1,('1_Input_5_обстежень_'!H25-E25)/(F25-E25))))</f>
        <v>0.14288294797687856</v>
      </c>
      <c r="I25" s="15">
        <f>IF(G25="↓ добре",MAX(0,MIN(1,(E25-'1_Input_5_обстежень_'!I25)/(E25-F25))),MAX(0,MIN(1,('1_Input_5_обстежень_'!I25-E25)/(F25-E25))))</f>
        <v>0.28576589595375723</v>
      </c>
      <c r="J25" s="15">
        <f>IF(G25="↓ добре",MAX(0,MIN(1,(E25-'1_Input_5_обстежень_'!J25)/(E25-F25))),MAX(0,MIN(1,('1_Input_5_обстежень_'!J25-E25)/(F25-E25))))</f>
        <v>0.50000000000000011</v>
      </c>
      <c r="K25" s="15">
        <f>IF(G25="↓ добре",MAX(0,MIN(1,(E25-'1_Input_5_обстежень_'!K25)/(E25-F25))),MAX(0,MIN(1,('1_Input_5_обстежень_'!K25-E25)/(F25-E25))))</f>
        <v>0.64288294797687873</v>
      </c>
      <c r="L25" s="15">
        <f>IF(G25="↓ добре",MAX(0,MIN(1,(E25-'1_Input_5_обстежень_'!L25)/(E25-F25))),MAX(0,MIN(1,('1_Input_5_обстежень_'!L25-E25)/(F25-E25))))</f>
        <v>0.71423410404624288</v>
      </c>
      <c r="M25" s="57">
        <f>'1_Input_5_обстежень_'!N25</f>
        <v>0.15</v>
      </c>
    </row>
    <row r="26" spans="1:13" ht="15" customHeight="1" x14ac:dyDescent="0.25">
      <c r="A26" s="15" t="str">
        <f>'1_Input_5_обстежень_'!A26</f>
        <v>Function</v>
      </c>
      <c r="B26" s="15" t="str">
        <f>'1_Input_5_обстежень_'!B26</f>
        <v>Strength</v>
      </c>
      <c r="C26" s="15" t="str">
        <f>'1_Input_5_обстежень_'!C26</f>
        <v>Muscle Strength</v>
      </c>
      <c r="D26" s="15" t="str">
        <f>'1_Input_5_обстежень_'!D26</f>
        <v>М’язова сила</v>
      </c>
      <c r="E26" s="15">
        <f>'1_Input_5_обстежень_'!E26</f>
        <v>77.3</v>
      </c>
      <c r="F26" s="15">
        <f>'1_Input_5_обстежень_'!F26</f>
        <v>115.95</v>
      </c>
      <c r="G26" s="15" t="str">
        <f>'1_Input_5_обстежень_'!G26</f>
        <v>↑ добре</v>
      </c>
      <c r="H26" s="15">
        <f>IF(G26="↓ добре",MAX(0,MIN(1,(E26-'1_Input_5_обстежень_'!H26)/(E26-F26))),MAX(0,MIN(1,('1_Input_5_обстежень_'!H26-E26)/(F26-E26))))</f>
        <v>9.9870633893919758E-2</v>
      </c>
      <c r="I26" s="15">
        <f>IF(G26="↓ добре",MAX(0,MIN(1,(E26-'1_Input_5_обстежень_'!I26)/(E26-F26))),MAX(0,MIN(1,('1_Input_5_обстежень_'!I26-E26)/(F26-E26))))</f>
        <v>0.20000000000000007</v>
      </c>
      <c r="J26" s="15">
        <f>IF(G26="↓ добре",MAX(0,MIN(1,(E26-'1_Input_5_обстежень_'!J26)/(E26-F26))),MAX(0,MIN(1,('1_Input_5_обстежень_'!J26-E26)/(F26-E26))))</f>
        <v>0.35006468305304006</v>
      </c>
      <c r="K26" s="15">
        <f>IF(G26="↓ добре",MAX(0,MIN(1,(E26-'1_Input_5_обстежень_'!K26)/(E26-F26))),MAX(0,MIN(1,('1_Input_5_обстежень_'!K26-E26)/(F26-E26))))</f>
        <v>0.44993531694695982</v>
      </c>
      <c r="L26" s="15">
        <f>IF(G26="↓ добре",MAX(0,MIN(1,(E26-'1_Input_5_обстежень_'!L26)/(E26-F26))),MAX(0,MIN(1,('1_Input_5_обстежень_'!L26-E26)/(F26-E26))))</f>
        <v>0.49987063389391989</v>
      </c>
      <c r="M26" s="57">
        <f>'1_Input_5_обстежень_'!N26</f>
        <v>0.15</v>
      </c>
    </row>
    <row r="27" spans="1:13" ht="15" customHeight="1" x14ac:dyDescent="0.25">
      <c r="A27" s="15" t="str">
        <f>'1_Input_5_обстежень_'!A27</f>
        <v>Function</v>
      </c>
      <c r="B27" s="15" t="str">
        <f>'1_Input_5_обстежень_'!B27</f>
        <v>LEFS</v>
      </c>
      <c r="C27" s="15" t="str">
        <f>'1_Input_5_обстежень_'!C27</f>
        <v>Lower Extremity Functional Scale</v>
      </c>
      <c r="D27" s="15" t="str">
        <f>'1_Input_5_обстежень_'!D27</f>
        <v>Функція кінцівки</v>
      </c>
      <c r="E27" s="15">
        <f>'1_Input_5_обстежень_'!E27</f>
        <v>59.49</v>
      </c>
      <c r="F27" s="15">
        <f>'1_Input_5_обстежень_'!F27</f>
        <v>89.23</v>
      </c>
      <c r="G27" s="15" t="str">
        <f>'1_Input_5_обстежень_'!G27</f>
        <v>↑ добре</v>
      </c>
      <c r="H27" s="15">
        <f>IF(G27="↓ добре",MAX(0,MIN(1,(E27-'1_Input_5_обстежень_'!H27)/(E27-F27))),MAX(0,MIN(1,('1_Input_5_обстежень_'!H27-E27)/(F27-E27))))</f>
        <v>9.9865501008742391E-2</v>
      </c>
      <c r="I27" s="15">
        <f>IF(G27="↓ добре",MAX(0,MIN(1,(E27-'1_Input_5_обстежень_'!I27)/(E27-F27))),MAX(0,MIN(1,('1_Input_5_обстежень_'!I27-E27)/(F27-E27))))</f>
        <v>0.20006724949562862</v>
      </c>
      <c r="J27" s="15">
        <f>IF(G27="↓ добре",MAX(0,MIN(1,(E27-'1_Input_5_обстежень_'!J27)/(E27-F27))),MAX(0,MIN(1,('1_Input_5_обстежень_'!J27-E27)/(F27-E27))))</f>
        <v>0.35003362474781446</v>
      </c>
      <c r="K27" s="15">
        <f>IF(G27="↓ добре",MAX(0,MIN(1,(E27-'1_Input_5_обстежень_'!K27)/(E27-F27))),MAX(0,MIN(1,('1_Input_5_обстежень_'!K27-E27)/(F27-E27))))</f>
        <v>0.44989912575655688</v>
      </c>
      <c r="L27" s="15">
        <f>IF(G27="↓ добре",MAX(0,MIN(1,(E27-'1_Input_5_обстежень_'!L27)/(E27-F27))),MAX(0,MIN(1,('1_Input_5_обстежень_'!L27-E27)/(F27-E27))))</f>
        <v>0.49999999999999989</v>
      </c>
      <c r="M27" s="57">
        <f>'1_Input_5_обстежень_'!N27</f>
        <v>0.2</v>
      </c>
    </row>
    <row r="28" spans="1:13" ht="15" customHeight="1" x14ac:dyDescent="0.25">
      <c r="A28" s="15" t="str">
        <f>'1_Input_5_обстежень_'!A28</f>
        <v>Function</v>
      </c>
      <c r="B28" s="15" t="str">
        <f>'1_Input_5_обстежень_'!B28</f>
        <v>ODI</v>
      </c>
      <c r="C28" s="15" t="str">
        <f>'1_Input_5_обстежень_'!C28</f>
        <v>Oswestry Disability Index</v>
      </c>
      <c r="D28" s="15" t="str">
        <f>'1_Input_5_обстежень_'!D28</f>
        <v>Інвалідизація через біль</v>
      </c>
      <c r="E28" s="15">
        <f>'1_Input_5_обстежень_'!E28</f>
        <v>45.57</v>
      </c>
      <c r="F28" s="15">
        <f>'1_Input_5_обстежень_'!F28</f>
        <v>13.67</v>
      </c>
      <c r="G28" s="15" t="str">
        <f>'1_Input_5_обстежень_'!G28</f>
        <v>↓ добре</v>
      </c>
      <c r="H28" s="15">
        <f>IF(G28="↓ добре",MAX(0,MIN(1,(E28-'1_Input_5_обстежень_'!H28)/(E28-F28))),MAX(0,MIN(1,('1_Input_5_обстежень_'!H28-E28)/(F28-E28))))</f>
        <v>0.14294670846394991</v>
      </c>
      <c r="I28" s="15">
        <f>IF(G28="↓ добре",MAX(0,MIN(1,(E28-'1_Input_5_обстежень_'!I28)/(E28-F28))),MAX(0,MIN(1,('1_Input_5_обстежень_'!I28-E28)/(F28-E28))))</f>
        <v>0.28557993730407522</v>
      </c>
      <c r="J28" s="15">
        <f>IF(G28="↓ добре",MAX(0,MIN(1,(E28-'1_Input_5_обстежень_'!J28)/(E28-F28))),MAX(0,MIN(1,('1_Input_5_обстежень_'!J28-E28)/(F28-E28))))</f>
        <v>0.5</v>
      </c>
      <c r="K28" s="15">
        <f>IF(G28="↓ добре",MAX(0,MIN(1,(E28-'1_Input_5_обстежень_'!K28)/(E28-F28))),MAX(0,MIN(1,('1_Input_5_обстежень_'!K28-E28)/(F28-E28))))</f>
        <v>0.64294670846394997</v>
      </c>
      <c r="L28" s="15">
        <f>IF(G28="↓ добре",MAX(0,MIN(1,(E28-'1_Input_5_обстежень_'!L28)/(E28-F28))),MAX(0,MIN(1,('1_Input_5_обстежень_'!L28-E28)/(F28-E28))))</f>
        <v>0.7141065830721004</v>
      </c>
      <c r="M28" s="57">
        <f>'1_Input_5_обстежень_'!N28</f>
        <v>0.15</v>
      </c>
    </row>
    <row r="29" spans="1:13" ht="15" customHeight="1" x14ac:dyDescent="0.25">
      <c r="A29" s="15" t="str">
        <f>'1_Input_5_обстежень_'!A29</f>
        <v>Trophic</v>
      </c>
      <c r="B29" s="15" t="str">
        <f>'1_Input_5_обстежень_'!B29</f>
        <v>StO2</v>
      </c>
      <c r="C29" s="15" t="str">
        <f>'1_Input_5_обстежень_'!C29</f>
        <v>Tissue Oxygenation</v>
      </c>
      <c r="D29" s="15" t="str">
        <f>'1_Input_5_обстежень_'!D29</f>
        <v>Оксигенація тканин</v>
      </c>
      <c r="E29" s="15">
        <f>'1_Input_5_обстежень_'!E29</f>
        <v>66.41</v>
      </c>
      <c r="F29" s="15">
        <f>'1_Input_5_обстежень_'!F29</f>
        <v>99.61</v>
      </c>
      <c r="G29" s="15" t="str">
        <f>'1_Input_5_обстежень_'!G29</f>
        <v>↑ добре</v>
      </c>
      <c r="H29" s="15">
        <f>IF(G29="↓ добре",MAX(0,MIN(1,(E29-'1_Input_5_обстежень_'!H29)/(E29-F29))),MAX(0,MIN(1,('1_Input_5_обстежень_'!H29-E29)/(F29-E29))))</f>
        <v>0.10000000000000021</v>
      </c>
      <c r="I29" s="15">
        <f>IF(G29="↓ добре",MAX(0,MIN(1,(E29-'1_Input_5_обстежень_'!I29)/(E29-F29))),MAX(0,MIN(1,('1_Input_5_обстежень_'!I29-E29)/(F29-E29))))</f>
        <v>0.2</v>
      </c>
      <c r="J29" s="15">
        <f>IF(G29="↓ добре",MAX(0,MIN(1,(E29-'1_Input_5_обстежень_'!J29)/(E29-F29))),MAX(0,MIN(1,('1_Input_5_обстежень_'!J29-E29)/(F29-E29))))</f>
        <v>0.35000000000000009</v>
      </c>
      <c r="K29" s="15">
        <f>IF(G29="↓ добре",MAX(0,MIN(1,(E29-'1_Input_5_обстежень_'!K29)/(E29-F29))),MAX(0,MIN(1,('1_Input_5_обстежень_'!K29-E29)/(F29-E29))))</f>
        <v>0.4499999999999999</v>
      </c>
      <c r="L29" s="15">
        <f>IF(G29="↓ добре",MAX(0,MIN(1,(E29-'1_Input_5_обстежень_'!L29)/(E29-F29))),MAX(0,MIN(1,('1_Input_5_обстежень_'!L29-E29)/(F29-E29))))</f>
        <v>0.50000000000000022</v>
      </c>
      <c r="M29" s="57">
        <f>'1_Input_5_обстежень_'!N29</f>
        <v>0.2</v>
      </c>
    </row>
    <row r="30" spans="1:13" ht="15" customHeight="1" x14ac:dyDescent="0.25">
      <c r="A30" s="15" t="str">
        <f>'1_Input_5_обстежень_'!A30</f>
        <v>Trophic</v>
      </c>
      <c r="B30" s="15" t="str">
        <f>'1_Input_5_обстежень_'!B30</f>
        <v>Perfusion</v>
      </c>
      <c r="C30" s="15" t="str">
        <f>'1_Input_5_обстежень_'!C30</f>
        <v>Perfusion Index</v>
      </c>
      <c r="D30" s="15" t="str">
        <f>'1_Input_5_обстежень_'!D30</f>
        <v>Тканинна перфузія</v>
      </c>
      <c r="E30" s="15">
        <f>'1_Input_5_обстежень_'!E30</f>
        <v>55.37</v>
      </c>
      <c r="F30" s="15">
        <f>'1_Input_5_обстежень_'!F30</f>
        <v>83.05</v>
      </c>
      <c r="G30" s="15" t="str">
        <f>'1_Input_5_обстежень_'!G30</f>
        <v>↑ добре</v>
      </c>
      <c r="H30" s="15">
        <f>IF(G30="↓ добре",MAX(0,MIN(1,(E30-'1_Input_5_обстежень_'!H30)/(E30-F30))),MAX(0,MIN(1,('1_Input_5_обстежень_'!H30-E30)/(F30-E30))))</f>
        <v>0.10007225433526024</v>
      </c>
      <c r="I30" s="15">
        <f>IF(G30="↓ добре",MAX(0,MIN(1,(E30-'1_Input_5_обстежень_'!I30)/(E30-F30))),MAX(0,MIN(1,('1_Input_5_обстежень_'!I30-E30)/(F30-E30))))</f>
        <v>0.20014450867052019</v>
      </c>
      <c r="J30" s="15">
        <f>IF(G30="↓ добре",MAX(0,MIN(1,(E30-'1_Input_5_обстежень_'!J30)/(E30-F30))),MAX(0,MIN(1,('1_Input_5_обстежень_'!J30-E30)/(F30-E30))))</f>
        <v>0.35007225433526029</v>
      </c>
      <c r="K30" s="15">
        <f>IF(G30="↓ добре",MAX(0,MIN(1,(E30-'1_Input_5_обстежень_'!K30)/(E30-F30))),MAX(0,MIN(1,('1_Input_5_обстежень_'!K30-E30)/(F30-E30))))</f>
        <v>0.45014450867052025</v>
      </c>
      <c r="L30" s="15">
        <f>IF(G30="↓ добре",MAX(0,MIN(1,(E30-'1_Input_5_обстежень_'!L30)/(E30-F30))),MAX(0,MIN(1,('1_Input_5_обстежень_'!L30-E30)/(F30-E30))))</f>
        <v>0.49999999999999989</v>
      </c>
      <c r="M30" s="57">
        <f>'1_Input_5_обстежень_'!N30</f>
        <v>0.15</v>
      </c>
    </row>
    <row r="31" spans="1:13" ht="15" customHeight="1" x14ac:dyDescent="0.25">
      <c r="A31" s="15" t="str">
        <f>'1_Input_5_обстежень_'!A31</f>
        <v>Trophic</v>
      </c>
      <c r="B31" s="15" t="str">
        <f>'1_Input_5_обстежень_'!B31</f>
        <v>Bioimpedance</v>
      </c>
      <c r="C31" s="15" t="str">
        <f>'1_Input_5_обстежень_'!C31</f>
        <v>Bioimpedance</v>
      </c>
      <c r="D31" s="15" t="str">
        <f>'1_Input_5_обстежень_'!D31</f>
        <v>Набряк та гідратація тканин</v>
      </c>
      <c r="E31" s="15">
        <f>'1_Input_5_обстежень_'!E31</f>
        <v>62.94</v>
      </c>
      <c r="F31" s="15">
        <f>'1_Input_5_обстежень_'!F31</f>
        <v>18.88</v>
      </c>
      <c r="G31" s="15" t="str">
        <f>'1_Input_5_обстежень_'!G31</f>
        <v>↓ добре</v>
      </c>
      <c r="H31" s="15">
        <f>IF(G31="↓ добре",MAX(0,MIN(1,(E31-'1_Input_5_обстежень_'!H31)/(E31-F31))),MAX(0,MIN(1,('1_Input_5_обстежень_'!H31-E31)/(F31-E31))))</f>
        <v>0.14275987290059008</v>
      </c>
      <c r="I31" s="15">
        <f>IF(G31="↓ добре",MAX(0,MIN(1,(E31-'1_Input_5_обстежень_'!I31)/(E31-F31))),MAX(0,MIN(1,('1_Input_5_обстежень_'!I31-E31)/(F31-E31))))</f>
        <v>0.28574670903313654</v>
      </c>
      <c r="J31" s="15">
        <f>IF(G31="↓ добре",MAX(0,MIN(1,(E31-'1_Input_5_обстежень_'!J31)/(E31-F31))),MAX(0,MIN(1,('1_Input_5_обстежень_'!J31-E31)/(F31-E31))))</f>
        <v>0.5</v>
      </c>
      <c r="K31" s="15">
        <f>IF(G31="↓ добре",MAX(0,MIN(1,(E31-'1_Input_5_обстежень_'!K31)/(E31-F31))),MAX(0,MIN(1,('1_Input_5_обстежень_'!K31-E31)/(F31-E31))))</f>
        <v>0.64275987290059011</v>
      </c>
      <c r="L31" s="15">
        <f>IF(G31="↓ добре",MAX(0,MIN(1,(E31-'1_Input_5_обстежень_'!L31)/(E31-F31))),MAX(0,MIN(1,('1_Input_5_обстежень_'!L31-E31)/(F31-E31))))</f>
        <v>0.7142532909668633</v>
      </c>
      <c r="M31" s="57">
        <f>'1_Input_5_обстежень_'!N31</f>
        <v>0.1</v>
      </c>
    </row>
    <row r="32" spans="1:13" ht="15" customHeight="1" x14ac:dyDescent="0.25">
      <c r="A32" s="15" t="str">
        <f>'1_Input_5_обстежень_'!A32</f>
        <v>Trophic</v>
      </c>
      <c r="B32" s="15" t="str">
        <f>'1_Input_5_обстежень_'!B32</f>
        <v>LocalTemp</v>
      </c>
      <c r="C32" s="15" t="str">
        <f>'1_Input_5_обстежень_'!C32</f>
        <v>Local Temperature</v>
      </c>
      <c r="D32" s="15" t="str">
        <f>'1_Input_5_обстежень_'!D32</f>
        <v>Локальне запалення</v>
      </c>
      <c r="E32" s="15">
        <f>'1_Input_5_обстежень_'!E32</f>
        <v>63.82</v>
      </c>
      <c r="F32" s="15">
        <f>'1_Input_5_обстежень_'!F32</f>
        <v>19.149999999999999</v>
      </c>
      <c r="G32" s="15" t="str">
        <f>'1_Input_5_обстежень_'!G32</f>
        <v>↓ добре</v>
      </c>
      <c r="H32" s="15">
        <f>IF(G32="↓ добре",MAX(0,MIN(1,(E32-'1_Input_5_обстежень_'!H32)/(E32-F32))),MAX(0,MIN(1,('1_Input_5_обстежень_'!H32-E32)/(F32-E32))))</f>
        <v>0.14282516230132083</v>
      </c>
      <c r="I32" s="15">
        <f>IF(G32="↓ добре",MAX(0,MIN(1,(E32-'1_Input_5_обстежень_'!I32)/(E32-F32))),MAX(0,MIN(1,('1_Input_5_обстежень_'!I32-E32)/(F32-E32))))</f>
        <v>0.28565032460264156</v>
      </c>
      <c r="J32" s="15">
        <f>IF(G32="↓ добре",MAX(0,MIN(1,(E32-'1_Input_5_обстежень_'!J32)/(E32-F32))),MAX(0,MIN(1,('1_Input_5_обстежень_'!J32-E32)/(F32-E32))))</f>
        <v>0.50011193194537729</v>
      </c>
      <c r="K32" s="15">
        <f>IF(G32="↓ добре",MAX(0,MIN(1,(E32-'1_Input_5_обстежень_'!K32)/(E32-F32))),MAX(0,MIN(1,('1_Input_5_обстежень_'!K32-E32)/(F32-E32))))</f>
        <v>0.64293709424669798</v>
      </c>
      <c r="L32" s="15">
        <f>IF(G32="↓ добре",MAX(0,MIN(1,(E32-'1_Input_5_обстежень_'!L32)/(E32-F32))),MAX(0,MIN(1,('1_Input_5_обстежень_'!L32-E32)/(F32-E32))))</f>
        <v>0.71434967539735839</v>
      </c>
      <c r="M32" s="57">
        <f>'1_Input_5_обстежень_'!N32</f>
        <v>0.1</v>
      </c>
    </row>
    <row r="33" spans="1:13" ht="15" customHeight="1" x14ac:dyDescent="0.25">
      <c r="A33" s="15" t="str">
        <f>'1_Input_5_обстежень_'!A33</f>
        <v>Trophic</v>
      </c>
      <c r="B33" s="15" t="str">
        <f>'1_Input_5_обстежень_'!B33</f>
        <v>CRP</v>
      </c>
      <c r="C33" s="15" t="str">
        <f>'1_Input_5_обстежень_'!C33</f>
        <v>C-reactive Protein</v>
      </c>
      <c r="D33" s="15" t="str">
        <f>'1_Input_5_обстежень_'!D33</f>
        <v>Системне запалення</v>
      </c>
      <c r="E33" s="15">
        <f>'1_Input_5_обстежень_'!E33</f>
        <v>59.72</v>
      </c>
      <c r="F33" s="15">
        <f>'1_Input_5_обстежень_'!F33</f>
        <v>17.920000000000002</v>
      </c>
      <c r="G33" s="15" t="str">
        <f>'1_Input_5_обстежень_'!G33</f>
        <v>↓ добре</v>
      </c>
      <c r="H33" s="15">
        <f>IF(G33="↓ добре",MAX(0,MIN(1,(E33-'1_Input_5_обстежень_'!H33)/(E33-F33))),MAX(0,MIN(1,('1_Input_5_обстежень_'!H33-E33)/(F33-E33))))</f>
        <v>0.14282296650717702</v>
      </c>
      <c r="I33" s="15">
        <f>IF(G33="↓ добре",MAX(0,MIN(1,(E33-'1_Input_5_обстежень_'!I33)/(E33-F33))),MAX(0,MIN(1,('1_Input_5_обстежень_'!I33-E33)/(F33-E33))))</f>
        <v>0.28564593301435404</v>
      </c>
      <c r="J33" s="15">
        <f>IF(G33="↓ добре",MAX(0,MIN(1,(E33-'1_Input_5_обстежень_'!J33)/(E33-F33))),MAX(0,MIN(1,('1_Input_5_обстежень_'!J33-E33)/(F33-E33))))</f>
        <v>0.5</v>
      </c>
      <c r="K33" s="15">
        <f>IF(G33="↓ добре",MAX(0,MIN(1,(E33-'1_Input_5_обстежень_'!K33)/(E33-F33))),MAX(0,MIN(1,('1_Input_5_обстежень_'!K33-E33)/(F33-E33))))</f>
        <v>0.64282296650717696</v>
      </c>
      <c r="L33" s="15">
        <f>IF(G33="↓ добре",MAX(0,MIN(1,(E33-'1_Input_5_обстежень_'!L33)/(E33-F33))),MAX(0,MIN(1,('1_Input_5_обстежень_'!L33-E33)/(F33-E33))))</f>
        <v>0.71435406698564596</v>
      </c>
      <c r="M33" s="57">
        <f>'1_Input_5_обстежень_'!N33</f>
        <v>0.25</v>
      </c>
    </row>
    <row r="34" spans="1:13" ht="15" customHeight="1" x14ac:dyDescent="0.25">
      <c r="A34" s="15" t="str">
        <f>'1_Input_5_обстежень_'!A34</f>
        <v>Trophic</v>
      </c>
      <c r="B34" s="15" t="str">
        <f>'1_Input_5_обстежень_'!B34</f>
        <v>CBCindex</v>
      </c>
      <c r="C34" s="15" t="str">
        <f>'1_Input_5_обстежень_'!C34</f>
        <v>CBC Inflammatory Index</v>
      </c>
      <c r="D34" s="15" t="str">
        <f>'1_Input_5_обстежень_'!D34</f>
        <v>Запальна активність крові</v>
      </c>
      <c r="E34" s="15">
        <f>'1_Input_5_обстежень_'!E34</f>
        <v>60.08</v>
      </c>
      <c r="F34" s="15">
        <f>'1_Input_5_обстежень_'!F34</f>
        <v>18.02</v>
      </c>
      <c r="G34" s="15" t="str">
        <f>'1_Input_5_обстежень_'!G34</f>
        <v>↓ добре</v>
      </c>
      <c r="H34" s="15">
        <f>IF(G34="↓ добре",MAX(0,MIN(1,(E34-'1_Input_5_обстежень_'!H34)/(E34-F34))),MAX(0,MIN(1,('1_Input_5_обстежень_'!H34-E34)/(F34-E34))))</f>
        <v>0.14289110794103657</v>
      </c>
      <c r="I34" s="15">
        <f>IF(G34="↓ добре",MAX(0,MIN(1,(E34-'1_Input_5_обстежень_'!I34)/(E34-F34))),MAX(0,MIN(1,('1_Input_5_обстежень_'!I34-E34)/(F34-E34))))</f>
        <v>0.28578221588207314</v>
      </c>
      <c r="J34" s="15">
        <f>IF(G34="↓ добре",MAX(0,MIN(1,(E34-'1_Input_5_обстежень_'!J34)/(E34-F34))),MAX(0,MIN(1,('1_Input_5_обстежень_'!J34-E34)/(F34-E34))))</f>
        <v>0.5</v>
      </c>
      <c r="K34" s="15">
        <f>IF(G34="↓ добре",MAX(0,MIN(1,(E34-'1_Input_5_обстежень_'!K34)/(E34-F34))),MAX(0,MIN(1,('1_Input_5_обстежень_'!K34-E34)/(F34-E34))))</f>
        <v>0.64289110794103654</v>
      </c>
      <c r="L34" s="15">
        <f>IF(G34="↓ добре",MAX(0,MIN(1,(E34-'1_Input_5_обстежень_'!L34)/(E34-F34))),MAX(0,MIN(1,('1_Input_5_обстежень_'!L34-E34)/(F34-E34))))</f>
        <v>0.71421778411792669</v>
      </c>
      <c r="M34" s="57">
        <f>'1_Input_5_обстежень_'!N34</f>
        <v>0.2</v>
      </c>
    </row>
  </sheetData>
  <sheetProtection password="EBB1" sheet="1" formatColumns="0" formatRows="0" sort="0" autoFilter="0"/>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0"/>
  <sheetViews>
    <sheetView zoomScaleNormal="100" workbookViewId="0">
      <selection activeCell="I14" sqref="I14"/>
    </sheetView>
  </sheetViews>
  <sheetFormatPr defaultColWidth="8.7109375" defaultRowHeight="15" x14ac:dyDescent="0.25"/>
  <cols>
    <col min="12" max="19" width="10.28515625" style="15" customWidth="1"/>
    <col min="20" max="20" width="33.7109375" style="15" customWidth="1"/>
    <col min="21" max="21" width="38.140625" style="15" customWidth="1"/>
    <col min="23" max="23" width="39.85546875" style="15" customWidth="1"/>
    <col min="25" max="25" width="29.7109375" style="15" customWidth="1"/>
    <col min="26" max="26" width="30" style="15" customWidth="1"/>
  </cols>
  <sheetData>
    <row r="1" spans="1:26" ht="30" customHeight="1" x14ac:dyDescent="0.25">
      <c r="A1" s="50"/>
      <c r="B1" s="50" t="s">
        <v>364</v>
      </c>
      <c r="C1" s="50" t="s">
        <v>449</v>
      </c>
      <c r="D1" s="50" t="s">
        <v>219</v>
      </c>
      <c r="E1" s="50" t="s">
        <v>220</v>
      </c>
      <c r="F1" s="50" t="s">
        <v>450</v>
      </c>
      <c r="G1" s="50" t="s">
        <v>221</v>
      </c>
      <c r="H1" s="50" t="s">
        <v>222</v>
      </c>
      <c r="I1" s="50" t="s">
        <v>223</v>
      </c>
      <c r="J1" s="50" t="s">
        <v>224</v>
      </c>
      <c r="K1" s="50" t="s">
        <v>225</v>
      </c>
      <c r="L1" s="50" t="s">
        <v>228</v>
      </c>
      <c r="M1" s="50" t="s">
        <v>229</v>
      </c>
      <c r="N1" s="50" t="s">
        <v>230</v>
      </c>
      <c r="O1" s="50" t="s">
        <v>231</v>
      </c>
      <c r="P1" s="50" t="s">
        <v>232</v>
      </c>
      <c r="Q1" s="50"/>
      <c r="R1" s="50" t="s">
        <v>451</v>
      </c>
      <c r="S1" s="50" t="s">
        <v>452</v>
      </c>
      <c r="T1" s="50" t="s">
        <v>453</v>
      </c>
      <c r="U1" s="50" t="s">
        <v>454</v>
      </c>
      <c r="V1" s="50" t="s">
        <v>455</v>
      </c>
      <c r="W1" s="50"/>
      <c r="X1" s="58" t="s">
        <v>453</v>
      </c>
      <c r="Y1" s="58" t="s">
        <v>454</v>
      </c>
      <c r="Z1" s="58" t="s">
        <v>455</v>
      </c>
    </row>
    <row r="2" spans="1:26" ht="30" customHeight="1" x14ac:dyDescent="0.25">
      <c r="A2" s="50"/>
      <c r="B2" s="50" t="s">
        <v>123</v>
      </c>
      <c r="C2" s="50" t="s">
        <v>165</v>
      </c>
      <c r="D2" s="50">
        <v>69</v>
      </c>
      <c r="E2" s="50">
        <v>20</v>
      </c>
      <c r="F2" s="50" t="s">
        <v>456</v>
      </c>
      <c r="G2" s="50">
        <v>67.89</v>
      </c>
      <c r="H2" s="50">
        <v>58.26</v>
      </c>
      <c r="I2" s="50">
        <v>49.95</v>
      </c>
      <c r="J2" s="50">
        <v>34.99</v>
      </c>
      <c r="K2" s="50">
        <v>29.01</v>
      </c>
      <c r="L2" s="59">
        <f t="shared" ref="L2:L49" si="0">IF($F2="DOWN",MAX(0,MIN(1,($D2-G2)/($D2-$E2))),MAX(0,MIN(1,(G2-$D2)/($E2-$D2))))</f>
        <v>2.2653061224489783E-2</v>
      </c>
      <c r="M2" s="57">
        <f t="shared" ref="M2:M49" si="1">IF($F2="DOWN",MAX(0,MIN(1,($D2-H2)/($D2-$E2))),MAX(0,MIN(1,(H2-$D2)/($E2-$D2))))</f>
        <v>0.2191836734693878</v>
      </c>
      <c r="N2" s="57">
        <f t="shared" ref="N2:N49" si="2">IF($F2="DOWN",MAX(0,MIN(1,($D2-I2)/($D2-$E2))),MAX(0,MIN(1,(I2-$D2)/($E2-$D2))))</f>
        <v>0.38877551020408158</v>
      </c>
      <c r="O2" s="57">
        <f t="shared" ref="O2:O49" si="3">IF($F2="DOWN",MAX(0,MIN(1,($D2-J2)/($D2-$E2))),MAX(0,MIN(1,(J2-$D2)/($E2-$D2))))</f>
        <v>0.69408163265306122</v>
      </c>
      <c r="P2" s="57">
        <f t="shared" ref="P2:P49" si="4">IF($F2="DOWN",MAX(0,MIN(1,($D2-K2)/($D2-$E2))),MAX(0,MIN(1,(K2-$D2)/($E2-$D2))))</f>
        <v>0.81612244897959174</v>
      </c>
      <c r="Q2" s="50" t="s">
        <v>165</v>
      </c>
      <c r="R2" s="60">
        <v>0.2</v>
      </c>
      <c r="S2" s="50">
        <v>0.11</v>
      </c>
      <c r="T2" s="50" t="s">
        <v>371</v>
      </c>
      <c r="U2" s="50" t="s">
        <v>457</v>
      </c>
      <c r="V2" s="50" t="s">
        <v>458</v>
      </c>
      <c r="W2" s="50"/>
      <c r="X2" s="61" t="s">
        <v>371</v>
      </c>
      <c r="Y2" s="61" t="s">
        <v>457</v>
      </c>
      <c r="Z2" s="61" t="s">
        <v>458</v>
      </c>
    </row>
    <row r="3" spans="1:26" ht="30" customHeight="1" x14ac:dyDescent="0.25">
      <c r="A3" s="50"/>
      <c r="B3" s="50" t="s">
        <v>123</v>
      </c>
      <c r="C3" s="50" t="s">
        <v>166</v>
      </c>
      <c r="D3" s="50">
        <v>67</v>
      </c>
      <c r="E3" s="50">
        <v>20</v>
      </c>
      <c r="F3" s="50" t="s">
        <v>456</v>
      </c>
      <c r="G3" s="50">
        <v>64.510000000000005</v>
      </c>
      <c r="H3" s="50">
        <v>53.58</v>
      </c>
      <c r="I3" s="50">
        <v>48.46</v>
      </c>
      <c r="J3" s="50">
        <v>36.799999999999997</v>
      </c>
      <c r="K3" s="50">
        <v>26.41</v>
      </c>
      <c r="L3" s="57">
        <f t="shared" si="0"/>
        <v>5.2978723404255211E-2</v>
      </c>
      <c r="M3" s="57">
        <f t="shared" si="1"/>
        <v>0.28553191489361707</v>
      </c>
      <c r="N3" s="57">
        <f t="shared" si="2"/>
        <v>0.39446808510638298</v>
      </c>
      <c r="O3" s="57">
        <f t="shared" si="3"/>
        <v>0.64255319148936174</v>
      </c>
      <c r="P3" s="57">
        <f t="shared" si="4"/>
        <v>0.86361702127659579</v>
      </c>
      <c r="Q3" s="50" t="s">
        <v>166</v>
      </c>
      <c r="R3" s="60">
        <v>0.15</v>
      </c>
      <c r="S3" s="50">
        <v>0.17</v>
      </c>
      <c r="T3" s="50" t="s">
        <v>374</v>
      </c>
      <c r="U3" s="50" t="s">
        <v>375</v>
      </c>
      <c r="V3" s="50" t="s">
        <v>459</v>
      </c>
      <c r="W3" s="50"/>
      <c r="X3" s="61" t="s">
        <v>374</v>
      </c>
      <c r="Y3" s="61" t="s">
        <v>375</v>
      </c>
      <c r="Z3" s="61" t="s">
        <v>459</v>
      </c>
    </row>
    <row r="4" spans="1:26" ht="30" customHeight="1" x14ac:dyDescent="0.25">
      <c r="A4" s="50"/>
      <c r="B4" s="50" t="s">
        <v>123</v>
      </c>
      <c r="C4" s="50" t="s">
        <v>167</v>
      </c>
      <c r="D4" s="50">
        <v>71</v>
      </c>
      <c r="E4" s="50">
        <v>21</v>
      </c>
      <c r="F4" s="50" t="s">
        <v>456</v>
      </c>
      <c r="G4" s="50">
        <v>69.680000000000007</v>
      </c>
      <c r="H4" s="50">
        <v>59.33</v>
      </c>
      <c r="I4" s="50">
        <v>54.01</v>
      </c>
      <c r="J4" s="50">
        <v>51.33</v>
      </c>
      <c r="K4" s="50">
        <v>41.96</v>
      </c>
      <c r="L4" s="57">
        <f t="shared" si="0"/>
        <v>2.6399999999999865E-2</v>
      </c>
      <c r="M4" s="57">
        <f t="shared" si="1"/>
        <v>0.23340000000000002</v>
      </c>
      <c r="N4" s="57">
        <f t="shared" si="2"/>
        <v>0.33980000000000005</v>
      </c>
      <c r="O4" s="57">
        <f t="shared" si="3"/>
        <v>0.39340000000000003</v>
      </c>
      <c r="P4" s="57">
        <f t="shared" si="4"/>
        <v>0.58079999999999998</v>
      </c>
      <c r="Q4" s="50" t="s">
        <v>167</v>
      </c>
      <c r="R4" s="60">
        <v>0.2</v>
      </c>
      <c r="S4" s="50">
        <v>0.08</v>
      </c>
      <c r="T4" s="50" t="s">
        <v>376</v>
      </c>
      <c r="U4" s="50" t="s">
        <v>460</v>
      </c>
      <c r="V4" s="50" t="s">
        <v>461</v>
      </c>
      <c r="W4" s="50"/>
      <c r="X4" s="61" t="s">
        <v>376</v>
      </c>
      <c r="Y4" s="61" t="s">
        <v>460</v>
      </c>
      <c r="Z4" s="61" t="s">
        <v>461</v>
      </c>
    </row>
    <row r="5" spans="1:26" ht="30" customHeight="1" x14ac:dyDescent="0.25">
      <c r="A5" s="50"/>
      <c r="B5" s="50" t="s">
        <v>123</v>
      </c>
      <c r="C5" s="50" t="s">
        <v>168</v>
      </c>
      <c r="D5" s="50">
        <v>63</v>
      </c>
      <c r="E5" s="50">
        <v>18</v>
      </c>
      <c r="F5" s="50" t="s">
        <v>456</v>
      </c>
      <c r="G5" s="50">
        <v>61.71</v>
      </c>
      <c r="H5" s="50">
        <v>46.46</v>
      </c>
      <c r="I5" s="50">
        <v>38.799999999999997</v>
      </c>
      <c r="J5" s="50">
        <v>33.840000000000003</v>
      </c>
      <c r="K5" s="50">
        <v>29.22</v>
      </c>
      <c r="L5" s="57">
        <f t="shared" si="0"/>
        <v>2.8666666666666649E-2</v>
      </c>
      <c r="M5" s="57">
        <f t="shared" si="1"/>
        <v>0.36755555555555552</v>
      </c>
      <c r="N5" s="57">
        <f t="shared" si="2"/>
        <v>0.5377777777777778</v>
      </c>
      <c r="O5" s="57">
        <f t="shared" si="3"/>
        <v>0.64799999999999991</v>
      </c>
      <c r="P5" s="57">
        <f t="shared" si="4"/>
        <v>0.7506666666666667</v>
      </c>
      <c r="Q5" s="50" t="s">
        <v>168</v>
      </c>
      <c r="R5" s="60">
        <v>0.1</v>
      </c>
      <c r="S5" s="50">
        <v>7.0000000000000007E-2</v>
      </c>
      <c r="T5" s="50" t="s">
        <v>378</v>
      </c>
      <c r="U5" s="50" t="s">
        <v>462</v>
      </c>
      <c r="V5" s="50" t="s">
        <v>463</v>
      </c>
      <c r="W5" s="50"/>
      <c r="X5" s="61" t="s">
        <v>378</v>
      </c>
      <c r="Y5" s="61" t="s">
        <v>462</v>
      </c>
      <c r="Z5" s="61" t="s">
        <v>463</v>
      </c>
    </row>
    <row r="6" spans="1:26" ht="30" customHeight="1" x14ac:dyDescent="0.25">
      <c r="A6" s="50"/>
      <c r="B6" s="50" t="s">
        <v>123</v>
      </c>
      <c r="C6" s="50" t="s">
        <v>169</v>
      </c>
      <c r="D6" s="50">
        <v>51</v>
      </c>
      <c r="E6" s="50">
        <v>15</v>
      </c>
      <c r="F6" s="50" t="s">
        <v>456</v>
      </c>
      <c r="G6" s="50">
        <v>46.79</v>
      </c>
      <c r="H6" s="50">
        <v>43.27</v>
      </c>
      <c r="I6" s="50">
        <v>35.74</v>
      </c>
      <c r="J6" s="50">
        <v>21.76</v>
      </c>
      <c r="K6" s="50">
        <v>18.239999999999998</v>
      </c>
      <c r="L6" s="57">
        <f t="shared" si="0"/>
        <v>0.11694444444444446</v>
      </c>
      <c r="M6" s="57">
        <f t="shared" si="1"/>
        <v>0.21472222222222215</v>
      </c>
      <c r="N6" s="57">
        <f t="shared" si="2"/>
        <v>0.42388888888888882</v>
      </c>
      <c r="O6" s="57">
        <f t="shared" si="3"/>
        <v>0.81222222222222218</v>
      </c>
      <c r="P6" s="57">
        <f t="shared" si="4"/>
        <v>0.91000000000000014</v>
      </c>
      <c r="Q6" s="50" t="s">
        <v>169</v>
      </c>
      <c r="R6" s="60">
        <v>0.1</v>
      </c>
      <c r="S6" s="50">
        <v>0.11</v>
      </c>
      <c r="T6" s="50" t="s">
        <v>380</v>
      </c>
      <c r="U6" s="50" t="s">
        <v>464</v>
      </c>
      <c r="V6" s="50" t="s">
        <v>379</v>
      </c>
      <c r="W6" s="50"/>
      <c r="X6" s="61" t="s">
        <v>380</v>
      </c>
      <c r="Y6" s="61" t="s">
        <v>464</v>
      </c>
      <c r="Z6" s="61" t="s">
        <v>379</v>
      </c>
    </row>
    <row r="7" spans="1:26" ht="30" customHeight="1" x14ac:dyDescent="0.25">
      <c r="A7" s="50"/>
      <c r="B7" s="50" t="s">
        <v>123</v>
      </c>
      <c r="C7" s="50" t="s">
        <v>170</v>
      </c>
      <c r="D7" s="50">
        <v>68</v>
      </c>
      <c r="E7" s="50">
        <v>20</v>
      </c>
      <c r="F7" s="50" t="s">
        <v>456</v>
      </c>
      <c r="G7" s="50">
        <v>58.3</v>
      </c>
      <c r="H7" s="50">
        <v>53.48</v>
      </c>
      <c r="I7" s="50">
        <v>39.04</v>
      </c>
      <c r="J7" s="50">
        <v>36.49</v>
      </c>
      <c r="K7" s="50">
        <v>27.44</v>
      </c>
      <c r="L7" s="57">
        <f t="shared" si="0"/>
        <v>0.20208333333333339</v>
      </c>
      <c r="M7" s="57">
        <f t="shared" si="1"/>
        <v>0.30250000000000005</v>
      </c>
      <c r="N7" s="57">
        <f t="shared" si="2"/>
        <v>0.60333333333333339</v>
      </c>
      <c r="O7" s="57">
        <f t="shared" si="3"/>
        <v>0.65645833333333325</v>
      </c>
      <c r="P7" s="57">
        <f t="shared" si="4"/>
        <v>0.84500000000000008</v>
      </c>
      <c r="Q7" s="50" t="s">
        <v>170</v>
      </c>
      <c r="R7" s="60">
        <v>0.15</v>
      </c>
      <c r="S7" s="50">
        <v>0.17</v>
      </c>
      <c r="T7" s="50" t="s">
        <v>382</v>
      </c>
      <c r="U7" s="50" t="s">
        <v>465</v>
      </c>
      <c r="V7" s="50" t="s">
        <v>466</v>
      </c>
      <c r="W7" s="50"/>
      <c r="X7" s="61" t="s">
        <v>382</v>
      </c>
      <c r="Y7" s="61" t="s">
        <v>465</v>
      </c>
      <c r="Z7" s="61" t="s">
        <v>466</v>
      </c>
    </row>
    <row r="8" spans="1:26" ht="30" customHeight="1" x14ac:dyDescent="0.25">
      <c r="A8" s="50"/>
      <c r="B8" s="50" t="s">
        <v>123</v>
      </c>
      <c r="C8" s="50" t="s">
        <v>384</v>
      </c>
      <c r="D8" s="50">
        <v>58</v>
      </c>
      <c r="E8" s="50">
        <v>17</v>
      </c>
      <c r="F8" s="50" t="s">
        <v>456</v>
      </c>
      <c r="G8" s="50">
        <v>50.75</v>
      </c>
      <c r="H8" s="50">
        <v>42.28</v>
      </c>
      <c r="I8" s="50">
        <v>36.97</v>
      </c>
      <c r="J8" s="50">
        <v>27.61</v>
      </c>
      <c r="K8" s="50">
        <v>28.02</v>
      </c>
      <c r="L8" s="57">
        <f t="shared" si="0"/>
        <v>0.17682926829268292</v>
      </c>
      <c r="M8" s="57">
        <f t="shared" si="1"/>
        <v>0.38341463414634142</v>
      </c>
      <c r="N8" s="57">
        <f t="shared" si="2"/>
        <v>0.51292682926829269</v>
      </c>
      <c r="O8" s="57">
        <f t="shared" si="3"/>
        <v>0.74121951219512194</v>
      </c>
      <c r="P8" s="57">
        <f t="shared" si="4"/>
        <v>0.73121951219512193</v>
      </c>
      <c r="Q8" s="51" t="s">
        <v>384</v>
      </c>
      <c r="R8" s="62">
        <v>0.1</v>
      </c>
      <c r="S8" s="50">
        <v>0.24</v>
      </c>
      <c r="T8" s="50" t="s">
        <v>385</v>
      </c>
      <c r="U8" s="50" t="s">
        <v>467</v>
      </c>
      <c r="V8" s="50" t="s">
        <v>468</v>
      </c>
      <c r="W8" s="50"/>
      <c r="X8" s="61" t="s">
        <v>385</v>
      </c>
      <c r="Y8" s="61" t="s">
        <v>467</v>
      </c>
      <c r="Z8" s="61" t="s">
        <v>468</v>
      </c>
    </row>
    <row r="9" spans="1:26" ht="30" customHeight="1" x14ac:dyDescent="0.25">
      <c r="A9" s="50"/>
      <c r="B9" s="50" t="s">
        <v>125</v>
      </c>
      <c r="C9" s="50" t="s">
        <v>172</v>
      </c>
      <c r="D9" s="50">
        <v>55</v>
      </c>
      <c r="E9" s="50">
        <v>16</v>
      </c>
      <c r="F9" s="50" t="s">
        <v>456</v>
      </c>
      <c r="G9" s="50">
        <v>52.64</v>
      </c>
      <c r="H9" s="50">
        <v>50.26</v>
      </c>
      <c r="I9" s="50">
        <v>43.05</v>
      </c>
      <c r="J9" s="50">
        <v>38.51</v>
      </c>
      <c r="K9" s="50">
        <v>32.520000000000003</v>
      </c>
      <c r="L9" s="57">
        <f t="shared" si="0"/>
        <v>6.0512820512820496E-2</v>
      </c>
      <c r="M9" s="57">
        <f t="shared" si="1"/>
        <v>0.1215384615384616</v>
      </c>
      <c r="N9" s="57">
        <f t="shared" si="2"/>
        <v>0.30641025641025649</v>
      </c>
      <c r="O9" s="57">
        <f t="shared" si="3"/>
        <v>0.42282051282051286</v>
      </c>
      <c r="P9" s="57">
        <f t="shared" si="4"/>
        <v>0.57641025641025634</v>
      </c>
      <c r="Q9" s="53" t="s">
        <v>172</v>
      </c>
      <c r="R9" s="54">
        <v>0.1636</v>
      </c>
      <c r="S9" s="50">
        <v>0.2</v>
      </c>
      <c r="T9" s="50" t="s">
        <v>387</v>
      </c>
      <c r="U9" s="50" t="s">
        <v>469</v>
      </c>
      <c r="V9" s="50" t="s">
        <v>470</v>
      </c>
      <c r="W9" s="50"/>
      <c r="X9" s="61" t="s">
        <v>387</v>
      </c>
      <c r="Y9" s="61" t="s">
        <v>469</v>
      </c>
      <c r="Z9" s="61" t="s">
        <v>470</v>
      </c>
    </row>
    <row r="10" spans="1:26" ht="30" customHeight="1" x14ac:dyDescent="0.25">
      <c r="A10" s="50"/>
      <c r="B10" s="50" t="s">
        <v>125</v>
      </c>
      <c r="C10" s="50" t="s">
        <v>389</v>
      </c>
      <c r="D10" s="50">
        <v>74</v>
      </c>
      <c r="E10" s="50">
        <v>22</v>
      </c>
      <c r="F10" s="50" t="s">
        <v>456</v>
      </c>
      <c r="G10" s="50">
        <v>68.599999999999994</v>
      </c>
      <c r="H10" s="50">
        <v>61.44</v>
      </c>
      <c r="I10" s="50">
        <v>54</v>
      </c>
      <c r="J10" s="50">
        <v>43.83</v>
      </c>
      <c r="K10" s="50">
        <v>28.38</v>
      </c>
      <c r="L10" s="57">
        <f t="shared" si="0"/>
        <v>0.10384615384615395</v>
      </c>
      <c r="M10" s="57">
        <f t="shared" si="1"/>
        <v>0.24153846153846159</v>
      </c>
      <c r="N10" s="57">
        <f t="shared" si="2"/>
        <v>0.38461538461538464</v>
      </c>
      <c r="O10" s="57">
        <f t="shared" si="3"/>
        <v>0.58019230769230767</v>
      </c>
      <c r="P10" s="57">
        <f t="shared" si="4"/>
        <v>0.87730769230769234</v>
      </c>
      <c r="Q10" s="53" t="s">
        <v>389</v>
      </c>
      <c r="R10" s="54">
        <v>9.0899999999999995E-2</v>
      </c>
      <c r="S10" s="50">
        <v>0.21</v>
      </c>
      <c r="T10" s="50" t="s">
        <v>390</v>
      </c>
      <c r="U10" s="50" t="s">
        <v>471</v>
      </c>
      <c r="V10" s="50" t="s">
        <v>472</v>
      </c>
      <c r="W10" s="50"/>
      <c r="X10" s="61" t="s">
        <v>390</v>
      </c>
      <c r="Y10" s="61" t="s">
        <v>471</v>
      </c>
      <c r="Z10" s="61" t="s">
        <v>472</v>
      </c>
    </row>
    <row r="11" spans="1:26" ht="30" customHeight="1" x14ac:dyDescent="0.25">
      <c r="A11" s="50"/>
      <c r="B11" s="50" t="s">
        <v>125</v>
      </c>
      <c r="C11" s="50" t="s">
        <v>392</v>
      </c>
      <c r="D11" s="50">
        <v>73</v>
      </c>
      <c r="E11" s="50">
        <v>21</v>
      </c>
      <c r="F11" s="50" t="s">
        <v>456</v>
      </c>
      <c r="G11" s="50">
        <v>64.510000000000005</v>
      </c>
      <c r="H11" s="50">
        <v>62.85</v>
      </c>
      <c r="I11" s="50">
        <v>46.38</v>
      </c>
      <c r="J11" s="50">
        <v>43.93</v>
      </c>
      <c r="K11" s="50">
        <v>34.11</v>
      </c>
      <c r="L11" s="57">
        <f t="shared" si="0"/>
        <v>0.16326923076923067</v>
      </c>
      <c r="M11" s="57">
        <f t="shared" si="1"/>
        <v>0.19519230769230766</v>
      </c>
      <c r="N11" s="57">
        <f t="shared" si="2"/>
        <v>0.51192307692307693</v>
      </c>
      <c r="O11" s="57">
        <f t="shared" si="3"/>
        <v>0.5590384615384616</v>
      </c>
      <c r="P11" s="57">
        <f t="shared" si="4"/>
        <v>0.74788461538461537</v>
      </c>
      <c r="Q11" s="53" t="s">
        <v>392</v>
      </c>
      <c r="R11" s="54">
        <v>9.0899999999999995E-2</v>
      </c>
      <c r="S11" s="50">
        <v>0.08</v>
      </c>
      <c r="T11" s="50" t="s">
        <v>473</v>
      </c>
      <c r="U11" s="50" t="s">
        <v>474</v>
      </c>
      <c r="V11" s="50" t="s">
        <v>475</v>
      </c>
      <c r="W11" s="50"/>
      <c r="X11" s="61" t="s">
        <v>473</v>
      </c>
      <c r="Y11" s="61" t="s">
        <v>474</v>
      </c>
      <c r="Z11" s="61" t="s">
        <v>475</v>
      </c>
    </row>
    <row r="12" spans="1:26" ht="30" customHeight="1" x14ac:dyDescent="0.25">
      <c r="A12" s="50"/>
      <c r="B12" s="50" t="s">
        <v>125</v>
      </c>
      <c r="C12" s="50" t="s">
        <v>395</v>
      </c>
      <c r="D12" s="50">
        <v>47</v>
      </c>
      <c r="E12" s="50">
        <v>14</v>
      </c>
      <c r="F12" s="50" t="s">
        <v>456</v>
      </c>
      <c r="G12" s="50">
        <v>40.67</v>
      </c>
      <c r="H12" s="50">
        <v>36.11</v>
      </c>
      <c r="I12" s="50">
        <v>28.14</v>
      </c>
      <c r="J12" s="50">
        <v>19.93</v>
      </c>
      <c r="K12" s="50">
        <v>15.24</v>
      </c>
      <c r="L12" s="57">
        <f t="shared" si="0"/>
        <v>0.19181818181818178</v>
      </c>
      <c r="M12" s="57">
        <f t="shared" si="1"/>
        <v>0.33</v>
      </c>
      <c r="N12" s="57">
        <f t="shared" si="2"/>
        <v>0.57151515151515153</v>
      </c>
      <c r="O12" s="57">
        <f t="shared" si="3"/>
        <v>0.82030303030303031</v>
      </c>
      <c r="P12" s="57">
        <f t="shared" si="4"/>
        <v>0.9624242424242424</v>
      </c>
      <c r="Q12" s="53" t="s">
        <v>395</v>
      </c>
      <c r="R12" s="54">
        <v>9.0899999999999995E-2</v>
      </c>
      <c r="S12" s="50">
        <v>0.25</v>
      </c>
      <c r="T12" s="50" t="s">
        <v>476</v>
      </c>
      <c r="U12" s="50" t="s">
        <v>477</v>
      </c>
      <c r="V12" s="50" t="s">
        <v>478</v>
      </c>
      <c r="W12" s="50"/>
      <c r="X12" s="61" t="s">
        <v>476</v>
      </c>
      <c r="Y12" s="61" t="s">
        <v>477</v>
      </c>
      <c r="Z12" s="61" t="s">
        <v>478</v>
      </c>
    </row>
    <row r="13" spans="1:26" ht="30" customHeight="1" x14ac:dyDescent="0.25">
      <c r="A13" s="50"/>
      <c r="B13" s="50" t="s">
        <v>125</v>
      </c>
      <c r="C13" s="50" t="s">
        <v>398</v>
      </c>
      <c r="D13" s="50">
        <v>65</v>
      </c>
      <c r="E13" s="50">
        <v>19</v>
      </c>
      <c r="F13" s="50" t="s">
        <v>456</v>
      </c>
      <c r="G13" s="50">
        <v>65.05</v>
      </c>
      <c r="H13" s="50">
        <v>56.81</v>
      </c>
      <c r="I13" s="50">
        <v>50.51</v>
      </c>
      <c r="J13" s="50">
        <v>44.32</v>
      </c>
      <c r="K13" s="50">
        <v>31.12</v>
      </c>
      <c r="L13" s="57">
        <f t="shared" si="0"/>
        <v>0</v>
      </c>
      <c r="M13" s="57">
        <f t="shared" si="1"/>
        <v>0.17804347826086953</v>
      </c>
      <c r="N13" s="57">
        <f t="shared" si="2"/>
        <v>0.31500000000000006</v>
      </c>
      <c r="O13" s="57">
        <f t="shared" si="3"/>
        <v>0.44956521739130434</v>
      </c>
      <c r="P13" s="57">
        <f t="shared" si="4"/>
        <v>0.73652173913043473</v>
      </c>
      <c r="Q13" s="53" t="s">
        <v>398</v>
      </c>
      <c r="R13" s="54">
        <v>0.1636</v>
      </c>
      <c r="S13" s="50">
        <v>0.15</v>
      </c>
      <c r="T13" s="50" t="s">
        <v>479</v>
      </c>
      <c r="U13" s="50" t="s">
        <v>480</v>
      </c>
      <c r="V13" s="50" t="s">
        <v>481</v>
      </c>
      <c r="W13" s="50"/>
      <c r="X13" s="61" t="s">
        <v>479</v>
      </c>
      <c r="Y13" s="61" t="s">
        <v>480</v>
      </c>
      <c r="Z13" s="61" t="s">
        <v>481</v>
      </c>
    </row>
    <row r="14" spans="1:26" ht="30" customHeight="1" x14ac:dyDescent="0.25">
      <c r="A14" s="50"/>
      <c r="B14" s="50" t="s">
        <v>125</v>
      </c>
      <c r="C14" s="50" t="s">
        <v>177</v>
      </c>
      <c r="D14" s="50">
        <v>73</v>
      </c>
      <c r="E14" s="50">
        <v>21</v>
      </c>
      <c r="F14" s="50" t="s">
        <v>456</v>
      </c>
      <c r="G14" s="50">
        <v>67.45</v>
      </c>
      <c r="H14" s="50">
        <v>55.34</v>
      </c>
      <c r="I14" s="50">
        <v>48.1</v>
      </c>
      <c r="J14" s="50">
        <v>31.14</v>
      </c>
      <c r="K14" s="50">
        <v>28.96</v>
      </c>
      <c r="L14" s="57">
        <f t="shared" si="0"/>
        <v>0.10673076923076917</v>
      </c>
      <c r="M14" s="57">
        <f t="shared" si="1"/>
        <v>0.33961538461538454</v>
      </c>
      <c r="N14" s="57">
        <f t="shared" si="2"/>
        <v>0.47884615384615381</v>
      </c>
      <c r="O14" s="57">
        <f t="shared" si="3"/>
        <v>0.80499999999999994</v>
      </c>
      <c r="P14" s="57">
        <f t="shared" si="4"/>
        <v>0.84692307692307689</v>
      </c>
      <c r="Q14" s="53" t="s">
        <v>177</v>
      </c>
      <c r="R14" s="54">
        <v>7.2700000000000001E-2</v>
      </c>
      <c r="S14" s="50">
        <v>0.17</v>
      </c>
      <c r="T14" s="50" t="s">
        <v>401</v>
      </c>
      <c r="U14" s="50" t="s">
        <v>482</v>
      </c>
      <c r="V14" s="50" t="s">
        <v>483</v>
      </c>
      <c r="W14" s="50"/>
      <c r="X14" s="61" t="s">
        <v>401</v>
      </c>
      <c r="Y14" s="61" t="s">
        <v>482</v>
      </c>
      <c r="Z14" s="61" t="s">
        <v>483</v>
      </c>
    </row>
    <row r="15" spans="1:26" ht="30" customHeight="1" x14ac:dyDescent="0.25">
      <c r="A15" s="50"/>
      <c r="B15" s="50" t="s">
        <v>125</v>
      </c>
      <c r="C15" s="50" t="s">
        <v>180</v>
      </c>
      <c r="D15" s="50">
        <v>54</v>
      </c>
      <c r="E15" s="50">
        <v>16</v>
      </c>
      <c r="F15" s="50" t="s">
        <v>456</v>
      </c>
      <c r="G15" s="50">
        <v>52</v>
      </c>
      <c r="H15" s="50">
        <v>44.82</v>
      </c>
      <c r="I15" s="50">
        <v>41.8</v>
      </c>
      <c r="J15" s="50">
        <v>33.119999999999997</v>
      </c>
      <c r="K15" s="50">
        <v>25.95</v>
      </c>
      <c r="L15" s="57">
        <f t="shared" si="0"/>
        <v>5.2631578947368418E-2</v>
      </c>
      <c r="M15" s="57">
        <f t="shared" si="1"/>
        <v>0.24157894736842103</v>
      </c>
      <c r="N15" s="57">
        <f t="shared" si="2"/>
        <v>0.32105263157894742</v>
      </c>
      <c r="O15" s="57">
        <f t="shared" si="3"/>
        <v>0.54947368421052634</v>
      </c>
      <c r="P15" s="57">
        <f t="shared" si="4"/>
        <v>0.73815789473684212</v>
      </c>
      <c r="Q15" s="53" t="s">
        <v>180</v>
      </c>
      <c r="R15" s="54">
        <v>7.2700000000000001E-2</v>
      </c>
      <c r="S15" s="50">
        <v>0.22</v>
      </c>
      <c r="T15" s="50" t="s">
        <v>403</v>
      </c>
      <c r="U15" s="50" t="s">
        <v>484</v>
      </c>
      <c r="V15" s="50" t="s">
        <v>485</v>
      </c>
      <c r="W15" s="50"/>
      <c r="X15" s="61" t="s">
        <v>403</v>
      </c>
      <c r="Y15" s="61" t="s">
        <v>484</v>
      </c>
      <c r="Z15" s="61" t="s">
        <v>485</v>
      </c>
    </row>
    <row r="16" spans="1:26" ht="30" customHeight="1" x14ac:dyDescent="0.25">
      <c r="A16" s="50"/>
      <c r="B16" s="50" t="s">
        <v>125</v>
      </c>
      <c r="C16" s="50" t="s">
        <v>179</v>
      </c>
      <c r="D16" s="50">
        <v>77</v>
      </c>
      <c r="E16" s="50">
        <v>23</v>
      </c>
      <c r="F16" s="50" t="s">
        <v>456</v>
      </c>
      <c r="G16" s="50">
        <v>74.06</v>
      </c>
      <c r="H16" s="50">
        <v>57.41</v>
      </c>
      <c r="I16" s="50">
        <v>54.97</v>
      </c>
      <c r="J16" s="50">
        <v>51.63</v>
      </c>
      <c r="K16" s="50">
        <v>45.62</v>
      </c>
      <c r="L16" s="57">
        <f t="shared" si="0"/>
        <v>5.44444444444444E-2</v>
      </c>
      <c r="M16" s="57">
        <f t="shared" si="1"/>
        <v>0.36277777777777787</v>
      </c>
      <c r="N16" s="57">
        <f t="shared" si="2"/>
        <v>0.40796296296296297</v>
      </c>
      <c r="O16" s="57">
        <f t="shared" si="3"/>
        <v>0.46981481481481474</v>
      </c>
      <c r="P16" s="57">
        <f t="shared" si="4"/>
        <v>0.58111111111111113</v>
      </c>
      <c r="Q16" s="53" t="s">
        <v>179</v>
      </c>
      <c r="R16" s="54">
        <v>7.2700000000000001E-2</v>
      </c>
      <c r="S16" s="50">
        <v>0.21</v>
      </c>
      <c r="T16" s="50" t="s">
        <v>405</v>
      </c>
      <c r="U16" s="50" t="s">
        <v>486</v>
      </c>
      <c r="V16" s="50" t="s">
        <v>487</v>
      </c>
      <c r="W16" s="50"/>
      <c r="X16" s="61" t="s">
        <v>405</v>
      </c>
      <c r="Y16" s="61" t="s">
        <v>486</v>
      </c>
      <c r="Z16" s="61" t="s">
        <v>487</v>
      </c>
    </row>
    <row r="17" spans="1:26" ht="30" customHeight="1" x14ac:dyDescent="0.25">
      <c r="A17" s="50"/>
      <c r="B17" s="50" t="s">
        <v>125</v>
      </c>
      <c r="C17" s="50" t="s">
        <v>488</v>
      </c>
      <c r="D17" s="50">
        <v>71</v>
      </c>
      <c r="E17" s="50">
        <v>106</v>
      </c>
      <c r="F17" s="50" t="s">
        <v>489</v>
      </c>
      <c r="G17" s="50">
        <v>75.7</v>
      </c>
      <c r="H17" s="50">
        <v>80.72</v>
      </c>
      <c r="I17" s="50">
        <v>82.46</v>
      </c>
      <c r="J17" s="50">
        <v>84.29</v>
      </c>
      <c r="K17" s="50">
        <v>90.6</v>
      </c>
      <c r="L17" s="57">
        <f t="shared" si="0"/>
        <v>0.13428571428571437</v>
      </c>
      <c r="M17" s="57">
        <f t="shared" si="1"/>
        <v>0.27771428571428569</v>
      </c>
      <c r="N17" s="57">
        <f t="shared" si="2"/>
        <v>0.32742857142857124</v>
      </c>
      <c r="O17" s="57">
        <f t="shared" si="3"/>
        <v>0.37971428571428589</v>
      </c>
      <c r="P17" s="57">
        <f t="shared" si="4"/>
        <v>0.55999999999999983</v>
      </c>
      <c r="Q17" s="53" t="s">
        <v>488</v>
      </c>
      <c r="R17" s="54">
        <v>4.5499999999999999E-2</v>
      </c>
      <c r="S17" s="50">
        <v>0.12</v>
      </c>
      <c r="T17" s="50" t="s">
        <v>490</v>
      </c>
      <c r="U17" s="50" t="s">
        <v>491</v>
      </c>
      <c r="V17" s="50" t="s">
        <v>492</v>
      </c>
      <c r="W17" s="50"/>
      <c r="X17" s="61" t="s">
        <v>490</v>
      </c>
      <c r="Y17" s="61" t="s">
        <v>491</v>
      </c>
      <c r="Z17" s="61" t="s">
        <v>492</v>
      </c>
    </row>
    <row r="18" spans="1:26" ht="30" customHeight="1" x14ac:dyDescent="0.25">
      <c r="A18" s="50"/>
      <c r="B18" s="50" t="s">
        <v>125</v>
      </c>
      <c r="C18" s="50" t="s">
        <v>493</v>
      </c>
      <c r="D18" s="50">
        <v>58</v>
      </c>
      <c r="E18" s="50">
        <v>87</v>
      </c>
      <c r="F18" s="50" t="s">
        <v>489</v>
      </c>
      <c r="G18" s="50">
        <v>62.8</v>
      </c>
      <c r="H18" s="50">
        <v>70.48</v>
      </c>
      <c r="I18" s="50">
        <v>75.84</v>
      </c>
      <c r="J18" s="50">
        <v>76.06</v>
      </c>
      <c r="K18" s="50">
        <v>85.6</v>
      </c>
      <c r="L18" s="57">
        <f t="shared" si="0"/>
        <v>0.16551724137931026</v>
      </c>
      <c r="M18" s="57">
        <f t="shared" si="1"/>
        <v>0.43034482758620701</v>
      </c>
      <c r="N18" s="57">
        <f t="shared" si="2"/>
        <v>0.61517241379310361</v>
      </c>
      <c r="O18" s="57">
        <f t="shared" si="3"/>
        <v>0.62275862068965526</v>
      </c>
      <c r="P18" s="57">
        <f t="shared" si="4"/>
        <v>0.95172413793103428</v>
      </c>
      <c r="Q18" s="53" t="s">
        <v>493</v>
      </c>
      <c r="R18" s="54">
        <v>4.5499999999999999E-2</v>
      </c>
      <c r="S18" s="50">
        <v>0.18</v>
      </c>
      <c r="T18" s="50" t="s">
        <v>494</v>
      </c>
      <c r="U18" s="50" t="s">
        <v>495</v>
      </c>
      <c r="V18" s="50" t="s">
        <v>496</v>
      </c>
      <c r="W18" s="50"/>
      <c r="X18" s="61" t="s">
        <v>494</v>
      </c>
      <c r="Y18" s="61" t="s">
        <v>495</v>
      </c>
      <c r="Z18" s="61" t="s">
        <v>496</v>
      </c>
    </row>
    <row r="19" spans="1:26" ht="30" customHeight="1" x14ac:dyDescent="0.25">
      <c r="A19" s="50"/>
      <c r="B19" s="50" t="s">
        <v>125</v>
      </c>
      <c r="C19" s="50" t="s">
        <v>497</v>
      </c>
      <c r="D19" s="50">
        <v>56</v>
      </c>
      <c r="E19" s="50">
        <v>84</v>
      </c>
      <c r="F19" s="50" t="s">
        <v>489</v>
      </c>
      <c r="G19" s="50">
        <v>60.15</v>
      </c>
      <c r="H19" s="50">
        <v>62.23</v>
      </c>
      <c r="I19" s="50">
        <v>69.94</v>
      </c>
      <c r="J19" s="50">
        <v>71.569999999999993</v>
      </c>
      <c r="K19" s="50">
        <v>77.64</v>
      </c>
      <c r="L19" s="57">
        <f t="shared" si="0"/>
        <v>0.14821428571428566</v>
      </c>
      <c r="M19" s="57">
        <f t="shared" si="1"/>
        <v>0.22249999999999989</v>
      </c>
      <c r="N19" s="57">
        <f t="shared" si="2"/>
        <v>0.49785714285714278</v>
      </c>
      <c r="O19" s="57">
        <f t="shared" si="3"/>
        <v>0.55607142857142833</v>
      </c>
      <c r="P19" s="57">
        <f t="shared" si="4"/>
        <v>0.77285714285714291</v>
      </c>
      <c r="Q19" s="53" t="s">
        <v>497</v>
      </c>
      <c r="R19" s="54">
        <v>4.5499999999999999E-2</v>
      </c>
      <c r="S19" s="50">
        <v>0.24</v>
      </c>
      <c r="T19" s="50" t="s">
        <v>498</v>
      </c>
      <c r="U19" s="50" t="s">
        <v>499</v>
      </c>
      <c r="V19" s="50" t="s">
        <v>500</v>
      </c>
      <c r="W19" s="50"/>
      <c r="X19" s="61" t="s">
        <v>498</v>
      </c>
      <c r="Y19" s="61" t="s">
        <v>499</v>
      </c>
      <c r="Z19" s="61" t="s">
        <v>500</v>
      </c>
    </row>
    <row r="20" spans="1:26" ht="30" customHeight="1" x14ac:dyDescent="0.25">
      <c r="A20" s="50"/>
      <c r="B20" s="50" t="s">
        <v>125</v>
      </c>
      <c r="C20" s="50" t="s">
        <v>501</v>
      </c>
      <c r="D20" s="50">
        <v>74</v>
      </c>
      <c r="E20" s="50">
        <v>111</v>
      </c>
      <c r="F20" s="50" t="s">
        <v>489</v>
      </c>
      <c r="G20" s="50">
        <v>82.66</v>
      </c>
      <c r="H20" s="50">
        <v>86.59</v>
      </c>
      <c r="I20" s="50">
        <v>87.33</v>
      </c>
      <c r="J20" s="50">
        <v>95.6</v>
      </c>
      <c r="K20" s="50">
        <v>97.37</v>
      </c>
      <c r="L20" s="57">
        <f t="shared" si="0"/>
        <v>0.23405405405405397</v>
      </c>
      <c r="M20" s="57">
        <f t="shared" si="1"/>
        <v>0.34027027027027035</v>
      </c>
      <c r="N20" s="57">
        <f t="shared" si="2"/>
        <v>0.3602702702702702</v>
      </c>
      <c r="O20" s="57">
        <f t="shared" si="3"/>
        <v>0.58378378378378359</v>
      </c>
      <c r="P20" s="57">
        <f t="shared" si="4"/>
        <v>0.63162162162162172</v>
      </c>
      <c r="Q20" s="53" t="s">
        <v>501</v>
      </c>
      <c r="R20" s="54">
        <v>4.5499999999999999E-2</v>
      </c>
      <c r="S20" s="50">
        <v>0.06</v>
      </c>
      <c r="T20" s="50" t="s">
        <v>502</v>
      </c>
      <c r="U20" s="50" t="s">
        <v>503</v>
      </c>
      <c r="V20" s="50" t="s">
        <v>504</v>
      </c>
      <c r="W20" s="50"/>
      <c r="X20" s="61" t="s">
        <v>502</v>
      </c>
      <c r="Y20" s="61" t="s">
        <v>503</v>
      </c>
      <c r="Z20" s="61" t="s">
        <v>504</v>
      </c>
    </row>
    <row r="21" spans="1:26" ht="30" customHeight="1" x14ac:dyDescent="0.25">
      <c r="A21" s="50"/>
      <c r="B21" s="50" t="s">
        <v>127</v>
      </c>
      <c r="C21" s="50" t="s">
        <v>187</v>
      </c>
      <c r="D21" s="50">
        <v>72</v>
      </c>
      <c r="E21" s="50">
        <v>108</v>
      </c>
      <c r="F21" s="50" t="s">
        <v>489</v>
      </c>
      <c r="G21" s="50">
        <v>80.72</v>
      </c>
      <c r="H21" s="50">
        <v>81.31</v>
      </c>
      <c r="I21" s="50">
        <v>91.61</v>
      </c>
      <c r="J21" s="50">
        <v>98.72</v>
      </c>
      <c r="K21" s="50">
        <v>100.3</v>
      </c>
      <c r="L21" s="57">
        <f t="shared" si="0"/>
        <v>0.2422222222222222</v>
      </c>
      <c r="M21" s="57">
        <f t="shared" si="1"/>
        <v>0.25861111111111118</v>
      </c>
      <c r="N21" s="57">
        <f t="shared" si="2"/>
        <v>0.54472222222222222</v>
      </c>
      <c r="O21" s="57">
        <f t="shared" si="3"/>
        <v>0.74222222222222223</v>
      </c>
      <c r="P21" s="57">
        <f t="shared" si="4"/>
        <v>0.78611111111111098</v>
      </c>
      <c r="Q21" s="53" t="s">
        <v>187</v>
      </c>
      <c r="R21" s="54">
        <v>0.15</v>
      </c>
      <c r="S21" s="50">
        <v>0.16</v>
      </c>
      <c r="T21" s="50" t="s">
        <v>407</v>
      </c>
      <c r="U21" s="50" t="s">
        <v>408</v>
      </c>
      <c r="V21" s="50" t="s">
        <v>505</v>
      </c>
      <c r="W21" s="50"/>
      <c r="X21" s="61" t="s">
        <v>407</v>
      </c>
      <c r="Y21" s="61" t="s">
        <v>408</v>
      </c>
      <c r="Z21" s="61" t="s">
        <v>505</v>
      </c>
    </row>
    <row r="22" spans="1:26" ht="30" customHeight="1" x14ac:dyDescent="0.25">
      <c r="A22" s="50"/>
      <c r="B22" s="50" t="s">
        <v>127</v>
      </c>
      <c r="C22" s="50" t="s">
        <v>188</v>
      </c>
      <c r="D22" s="50">
        <v>70</v>
      </c>
      <c r="E22" s="50">
        <v>105</v>
      </c>
      <c r="F22" s="50" t="s">
        <v>489</v>
      </c>
      <c r="G22" s="50">
        <v>75.38</v>
      </c>
      <c r="H22" s="50">
        <v>82.43</v>
      </c>
      <c r="I22" s="50">
        <v>87.07</v>
      </c>
      <c r="J22" s="50">
        <v>89.35</v>
      </c>
      <c r="K22" s="50">
        <v>97.11</v>
      </c>
      <c r="L22" s="57">
        <f t="shared" si="0"/>
        <v>0.15371428571428558</v>
      </c>
      <c r="M22" s="57">
        <f t="shared" si="1"/>
        <v>0.35514285714285732</v>
      </c>
      <c r="N22" s="57">
        <f t="shared" si="2"/>
        <v>0.48771428571428554</v>
      </c>
      <c r="O22" s="57">
        <f t="shared" si="3"/>
        <v>0.55285714285714271</v>
      </c>
      <c r="P22" s="57">
        <f t="shared" si="4"/>
        <v>0.77457142857142858</v>
      </c>
      <c r="Q22" s="53" t="s">
        <v>188</v>
      </c>
      <c r="R22" s="54">
        <v>0.15</v>
      </c>
      <c r="S22" s="50">
        <v>0.11</v>
      </c>
      <c r="T22" s="50" t="s">
        <v>506</v>
      </c>
      <c r="U22" s="50" t="s">
        <v>507</v>
      </c>
      <c r="V22" s="50" t="s">
        <v>410</v>
      </c>
      <c r="W22" s="50"/>
      <c r="X22" s="61" t="s">
        <v>506</v>
      </c>
      <c r="Y22" s="61" t="s">
        <v>507</v>
      </c>
      <c r="Z22" s="61" t="s">
        <v>410</v>
      </c>
    </row>
    <row r="23" spans="1:26" ht="30" customHeight="1" x14ac:dyDescent="0.25">
      <c r="A23" s="50"/>
      <c r="B23" s="50" t="s">
        <v>127</v>
      </c>
      <c r="C23" s="50" t="s">
        <v>189</v>
      </c>
      <c r="D23" s="50">
        <v>41</v>
      </c>
      <c r="E23" s="50">
        <v>61</v>
      </c>
      <c r="F23" s="50" t="s">
        <v>489</v>
      </c>
      <c r="G23" s="50">
        <v>45.02</v>
      </c>
      <c r="H23" s="50">
        <v>46.75</v>
      </c>
      <c r="I23" s="50">
        <v>49.14</v>
      </c>
      <c r="J23" s="50">
        <v>49.25</v>
      </c>
      <c r="K23" s="50">
        <v>50.01</v>
      </c>
      <c r="L23" s="57">
        <f t="shared" si="0"/>
        <v>0.20100000000000015</v>
      </c>
      <c r="M23" s="57">
        <f t="shared" si="1"/>
        <v>0.28749999999999998</v>
      </c>
      <c r="N23" s="57">
        <f t="shared" si="2"/>
        <v>0.40700000000000003</v>
      </c>
      <c r="O23" s="57">
        <f t="shared" si="3"/>
        <v>0.41249999999999998</v>
      </c>
      <c r="P23" s="57">
        <f t="shared" si="4"/>
        <v>0.4504999999999999</v>
      </c>
      <c r="Q23" s="53" t="s">
        <v>189</v>
      </c>
      <c r="R23" s="54">
        <v>0.15</v>
      </c>
      <c r="S23" s="50">
        <v>0.1</v>
      </c>
      <c r="T23" s="50" t="s">
        <v>508</v>
      </c>
      <c r="U23" s="50" t="s">
        <v>509</v>
      </c>
      <c r="V23" s="50" t="s">
        <v>510</v>
      </c>
      <c r="W23" s="50"/>
      <c r="X23" s="61" t="s">
        <v>508</v>
      </c>
      <c r="Y23" s="61" t="s">
        <v>509</v>
      </c>
      <c r="Z23" s="61" t="s">
        <v>510</v>
      </c>
    </row>
    <row r="24" spans="1:26" ht="30" customHeight="1" x14ac:dyDescent="0.25">
      <c r="A24" s="50"/>
      <c r="B24" s="50" t="s">
        <v>127</v>
      </c>
      <c r="C24" s="50" t="s">
        <v>190</v>
      </c>
      <c r="D24" s="50">
        <v>43</v>
      </c>
      <c r="E24" s="50">
        <v>64</v>
      </c>
      <c r="F24" s="50" t="s">
        <v>489</v>
      </c>
      <c r="G24" s="50">
        <v>48.43</v>
      </c>
      <c r="H24" s="50">
        <v>47.27</v>
      </c>
      <c r="I24" s="50">
        <v>53.52</v>
      </c>
      <c r="J24" s="50">
        <v>55.66</v>
      </c>
      <c r="K24" s="50">
        <v>62.32</v>
      </c>
      <c r="L24" s="57">
        <f t="shared" si="0"/>
        <v>0.25857142857142856</v>
      </c>
      <c r="M24" s="57">
        <f t="shared" si="1"/>
        <v>0.20333333333333348</v>
      </c>
      <c r="N24" s="57">
        <f t="shared" si="2"/>
        <v>0.50095238095238115</v>
      </c>
      <c r="O24" s="57">
        <f t="shared" si="3"/>
        <v>0.60285714285714265</v>
      </c>
      <c r="P24" s="57">
        <f t="shared" si="4"/>
        <v>0.92</v>
      </c>
      <c r="Q24" s="53" t="s">
        <v>190</v>
      </c>
      <c r="R24" s="54">
        <v>0.1</v>
      </c>
      <c r="S24" s="50">
        <v>0.21</v>
      </c>
      <c r="T24" s="50" t="s">
        <v>511</v>
      </c>
      <c r="U24" s="50" t="s">
        <v>512</v>
      </c>
      <c r="V24" s="50" t="s">
        <v>513</v>
      </c>
      <c r="W24" s="50"/>
      <c r="X24" s="61" t="s">
        <v>511</v>
      </c>
      <c r="Y24" s="61" t="s">
        <v>512</v>
      </c>
      <c r="Z24" s="61" t="s">
        <v>513</v>
      </c>
    </row>
    <row r="25" spans="1:26" ht="30" customHeight="1" x14ac:dyDescent="0.25">
      <c r="A25" s="50"/>
      <c r="B25" s="50" t="s">
        <v>127</v>
      </c>
      <c r="C25" s="50" t="s">
        <v>191</v>
      </c>
      <c r="D25" s="50">
        <v>58</v>
      </c>
      <c r="E25" s="50">
        <v>87</v>
      </c>
      <c r="F25" s="50" t="s">
        <v>489</v>
      </c>
      <c r="G25" s="50">
        <v>59.6</v>
      </c>
      <c r="H25" s="50">
        <v>66.2</v>
      </c>
      <c r="I25" s="50">
        <v>72.3</v>
      </c>
      <c r="J25" s="50">
        <v>75.900000000000006</v>
      </c>
      <c r="K25" s="50">
        <v>84.32</v>
      </c>
      <c r="L25" s="57">
        <f t="shared" si="0"/>
        <v>5.5172413793103496E-2</v>
      </c>
      <c r="M25" s="57">
        <f t="shared" si="1"/>
        <v>0.28275862068965529</v>
      </c>
      <c r="N25" s="57">
        <f t="shared" si="2"/>
        <v>0.49310344827586194</v>
      </c>
      <c r="O25" s="57">
        <f t="shared" si="3"/>
        <v>0.61724137931034506</v>
      </c>
      <c r="P25" s="57">
        <f t="shared" si="4"/>
        <v>0.90758620689655145</v>
      </c>
      <c r="Q25" s="53" t="s">
        <v>191</v>
      </c>
      <c r="R25" s="54">
        <v>0.1</v>
      </c>
      <c r="S25" s="50">
        <v>0.21</v>
      </c>
      <c r="T25" s="50" t="s">
        <v>514</v>
      </c>
      <c r="U25" s="50" t="s">
        <v>515</v>
      </c>
      <c r="V25" s="50" t="s">
        <v>516</v>
      </c>
      <c r="W25" s="50"/>
      <c r="X25" s="61" t="s">
        <v>514</v>
      </c>
      <c r="Y25" s="61" t="s">
        <v>515</v>
      </c>
      <c r="Z25" s="61" t="s">
        <v>516</v>
      </c>
    </row>
    <row r="26" spans="1:26" ht="30" customHeight="1" x14ac:dyDescent="0.25">
      <c r="A26" s="50"/>
      <c r="B26" s="50" t="s">
        <v>127</v>
      </c>
      <c r="C26" s="50" t="s">
        <v>412</v>
      </c>
      <c r="D26" s="50">
        <v>55</v>
      </c>
      <c r="E26" s="50">
        <v>16</v>
      </c>
      <c r="F26" s="50" t="s">
        <v>456</v>
      </c>
      <c r="G26" s="50">
        <v>52.89</v>
      </c>
      <c r="H26" s="50">
        <v>45.02</v>
      </c>
      <c r="I26" s="50">
        <v>36.83</v>
      </c>
      <c r="J26" s="50">
        <v>35.380000000000003</v>
      </c>
      <c r="K26" s="50">
        <v>29.54</v>
      </c>
      <c r="L26" s="57">
        <f t="shared" si="0"/>
        <v>5.4102564102564088E-2</v>
      </c>
      <c r="M26" s="57">
        <f t="shared" si="1"/>
        <v>0.2558974358974358</v>
      </c>
      <c r="N26" s="57">
        <f t="shared" si="2"/>
        <v>0.46589743589743593</v>
      </c>
      <c r="O26" s="57">
        <f t="shared" si="3"/>
        <v>0.50307692307692298</v>
      </c>
      <c r="P26" s="57">
        <f t="shared" si="4"/>
        <v>0.65282051282051279</v>
      </c>
      <c r="Q26" s="53" t="s">
        <v>412</v>
      </c>
      <c r="R26" s="54">
        <v>0.15</v>
      </c>
      <c r="S26" s="50">
        <v>0.17</v>
      </c>
      <c r="T26" s="50" t="s">
        <v>413</v>
      </c>
      <c r="U26" s="50" t="s">
        <v>517</v>
      </c>
      <c r="V26" s="50" t="s">
        <v>414</v>
      </c>
      <c r="W26" s="50"/>
      <c r="X26" s="61" t="s">
        <v>413</v>
      </c>
      <c r="Y26" s="61" t="s">
        <v>517</v>
      </c>
      <c r="Z26" s="61" t="s">
        <v>414</v>
      </c>
    </row>
    <row r="27" spans="1:26" ht="30" customHeight="1" x14ac:dyDescent="0.25">
      <c r="A27" s="50"/>
      <c r="B27" s="50" t="s">
        <v>127</v>
      </c>
      <c r="C27" s="50" t="s">
        <v>415</v>
      </c>
      <c r="D27" s="50">
        <v>59</v>
      </c>
      <c r="E27" s="50">
        <v>17</v>
      </c>
      <c r="F27" s="50" t="s">
        <v>456</v>
      </c>
      <c r="G27" s="50">
        <v>50.83</v>
      </c>
      <c r="H27" s="50">
        <v>46.31</v>
      </c>
      <c r="I27" s="50">
        <v>36.630000000000003</v>
      </c>
      <c r="J27" s="50">
        <v>31.75</v>
      </c>
      <c r="K27" s="50">
        <v>24.05</v>
      </c>
      <c r="L27" s="57">
        <f t="shared" si="0"/>
        <v>0.19452380952380957</v>
      </c>
      <c r="M27" s="57">
        <f t="shared" si="1"/>
        <v>0.3021428571428571</v>
      </c>
      <c r="N27" s="57">
        <f t="shared" si="2"/>
        <v>0.53261904761904755</v>
      </c>
      <c r="O27" s="57">
        <f t="shared" si="3"/>
        <v>0.64880952380952384</v>
      </c>
      <c r="P27" s="57">
        <f t="shared" si="4"/>
        <v>0.83214285714285718</v>
      </c>
      <c r="Q27" s="53" t="s">
        <v>415</v>
      </c>
      <c r="R27" s="54">
        <v>7.0000000000000007E-2</v>
      </c>
      <c r="S27" s="50">
        <v>0.14000000000000001</v>
      </c>
      <c r="T27" s="50" t="s">
        <v>416</v>
      </c>
      <c r="U27" s="50" t="s">
        <v>417</v>
      </c>
      <c r="V27" s="50" t="s">
        <v>518</v>
      </c>
      <c r="W27" s="50"/>
      <c r="X27" s="61" t="s">
        <v>416</v>
      </c>
      <c r="Y27" s="61" t="s">
        <v>417</v>
      </c>
      <c r="Z27" s="61" t="s">
        <v>518</v>
      </c>
    </row>
    <row r="28" spans="1:26" ht="30" customHeight="1" x14ac:dyDescent="0.25">
      <c r="A28" s="50"/>
      <c r="B28" s="50" t="s">
        <v>127</v>
      </c>
      <c r="C28" s="50" t="s">
        <v>519</v>
      </c>
      <c r="D28" s="50">
        <v>63</v>
      </c>
      <c r="E28" s="50">
        <v>18</v>
      </c>
      <c r="F28" s="50" t="s">
        <v>456</v>
      </c>
      <c r="G28" s="50">
        <v>56.74</v>
      </c>
      <c r="H28" s="50">
        <v>55.3</v>
      </c>
      <c r="I28" s="50">
        <v>48.33</v>
      </c>
      <c r="J28" s="50">
        <v>42.87</v>
      </c>
      <c r="K28" s="50">
        <v>31.51</v>
      </c>
      <c r="L28" s="57">
        <f t="shared" si="0"/>
        <v>0.13911111111111107</v>
      </c>
      <c r="M28" s="57">
        <f t="shared" si="1"/>
        <v>0.17111111111111119</v>
      </c>
      <c r="N28" s="57">
        <f t="shared" si="2"/>
        <v>0.32600000000000001</v>
      </c>
      <c r="O28" s="57">
        <f t="shared" si="3"/>
        <v>0.44733333333333342</v>
      </c>
      <c r="P28" s="57">
        <f t="shared" si="4"/>
        <v>0.69977777777777772</v>
      </c>
      <c r="Q28" s="53" t="s">
        <v>519</v>
      </c>
      <c r="R28" s="54">
        <v>7.0000000000000007E-2</v>
      </c>
      <c r="S28" s="50">
        <v>0.19</v>
      </c>
      <c r="T28" s="50" t="s">
        <v>520</v>
      </c>
      <c r="U28" s="50" t="s">
        <v>521</v>
      </c>
      <c r="V28" s="50" t="s">
        <v>522</v>
      </c>
      <c r="W28" s="50"/>
      <c r="X28" s="61" t="s">
        <v>520</v>
      </c>
      <c r="Y28" s="61" t="s">
        <v>521</v>
      </c>
      <c r="Z28" s="61" t="s">
        <v>522</v>
      </c>
    </row>
    <row r="29" spans="1:26" ht="30" customHeight="1" x14ac:dyDescent="0.25">
      <c r="A29" s="50"/>
      <c r="B29" s="50" t="s">
        <v>127</v>
      </c>
      <c r="C29" s="50" t="s">
        <v>523</v>
      </c>
      <c r="D29" s="50">
        <v>72</v>
      </c>
      <c r="E29" s="50">
        <v>21</v>
      </c>
      <c r="F29" s="50" t="s">
        <v>456</v>
      </c>
      <c r="G29" s="50">
        <v>61.37</v>
      </c>
      <c r="H29" s="50">
        <v>56.26</v>
      </c>
      <c r="I29" s="50">
        <v>58.35</v>
      </c>
      <c r="J29" s="50">
        <v>48.74</v>
      </c>
      <c r="K29" s="50">
        <v>37.799999999999997</v>
      </c>
      <c r="L29" s="57">
        <f t="shared" si="0"/>
        <v>0.20843137254901967</v>
      </c>
      <c r="M29" s="57">
        <f t="shared" si="1"/>
        <v>0.30862745098039218</v>
      </c>
      <c r="N29" s="57">
        <f t="shared" si="2"/>
        <v>0.2676470588235294</v>
      </c>
      <c r="O29" s="57">
        <f t="shared" si="3"/>
        <v>0.456078431372549</v>
      </c>
      <c r="P29" s="57">
        <f t="shared" si="4"/>
        <v>0.67058823529411771</v>
      </c>
      <c r="Q29" s="53" t="s">
        <v>523</v>
      </c>
      <c r="R29" s="54">
        <v>0.06</v>
      </c>
      <c r="S29" s="50">
        <v>0.12</v>
      </c>
      <c r="T29" s="50" t="s">
        <v>524</v>
      </c>
      <c r="U29" s="50" t="s">
        <v>525</v>
      </c>
      <c r="V29" s="50" t="s">
        <v>526</v>
      </c>
      <c r="W29" s="50"/>
      <c r="X29" s="61" t="s">
        <v>524</v>
      </c>
      <c r="Y29" s="61" t="s">
        <v>525</v>
      </c>
      <c r="Z29" s="61" t="s">
        <v>526</v>
      </c>
    </row>
    <row r="30" spans="1:26" ht="30" customHeight="1" x14ac:dyDescent="0.25">
      <c r="A30" s="50"/>
      <c r="B30" s="50" t="s">
        <v>129</v>
      </c>
      <c r="C30" s="50" t="s">
        <v>200</v>
      </c>
      <c r="D30" s="50">
        <v>70</v>
      </c>
      <c r="E30" s="50">
        <v>105</v>
      </c>
      <c r="F30" s="50" t="s">
        <v>489</v>
      </c>
      <c r="G30" s="50">
        <v>70.77</v>
      </c>
      <c r="H30" s="50">
        <v>81.38</v>
      </c>
      <c r="I30" s="50">
        <v>83.46</v>
      </c>
      <c r="J30" s="50">
        <v>87.78</v>
      </c>
      <c r="K30" s="50">
        <v>94.27</v>
      </c>
      <c r="L30" s="57">
        <f t="shared" si="0"/>
        <v>2.1999999999999888E-2</v>
      </c>
      <c r="M30" s="57">
        <f t="shared" si="1"/>
        <v>0.32514285714285701</v>
      </c>
      <c r="N30" s="57">
        <f t="shared" si="2"/>
        <v>0.3845714285714284</v>
      </c>
      <c r="O30" s="57">
        <f t="shared" si="3"/>
        <v>0.50800000000000001</v>
      </c>
      <c r="P30" s="57">
        <f t="shared" si="4"/>
        <v>0.69342857142857128</v>
      </c>
      <c r="Q30" s="63" t="s">
        <v>200</v>
      </c>
      <c r="R30" s="64">
        <v>0.15</v>
      </c>
      <c r="S30" s="50">
        <v>0.14000000000000001</v>
      </c>
      <c r="T30" s="50" t="s">
        <v>421</v>
      </c>
      <c r="U30" s="50" t="s">
        <v>422</v>
      </c>
      <c r="V30" s="50" t="s">
        <v>527</v>
      </c>
      <c r="W30" s="50"/>
      <c r="X30" s="61" t="s">
        <v>421</v>
      </c>
      <c r="Y30" s="61" t="s">
        <v>422</v>
      </c>
      <c r="Z30" s="61" t="s">
        <v>527</v>
      </c>
    </row>
    <row r="31" spans="1:26" ht="30" customHeight="1" x14ac:dyDescent="0.25">
      <c r="A31" s="50"/>
      <c r="B31" s="50" t="s">
        <v>129</v>
      </c>
      <c r="C31" s="50" t="s">
        <v>201</v>
      </c>
      <c r="D31" s="50">
        <v>67</v>
      </c>
      <c r="E31" s="50">
        <v>100</v>
      </c>
      <c r="F31" s="50" t="s">
        <v>489</v>
      </c>
      <c r="G31" s="50">
        <v>69.400000000000006</v>
      </c>
      <c r="H31" s="50">
        <v>73.510000000000005</v>
      </c>
      <c r="I31" s="50">
        <v>82.62</v>
      </c>
      <c r="J31" s="50">
        <v>89.02</v>
      </c>
      <c r="K31" s="50">
        <v>94.22</v>
      </c>
      <c r="L31" s="57">
        <f t="shared" si="0"/>
        <v>7.2727272727272904E-2</v>
      </c>
      <c r="M31" s="57">
        <f t="shared" si="1"/>
        <v>0.19727272727272743</v>
      </c>
      <c r="N31" s="57">
        <f t="shared" si="2"/>
        <v>0.47333333333333349</v>
      </c>
      <c r="O31" s="57">
        <f t="shared" si="3"/>
        <v>0.66727272727272713</v>
      </c>
      <c r="P31" s="57">
        <f t="shared" si="4"/>
        <v>0.82484848484848483</v>
      </c>
      <c r="Q31" s="63" t="s">
        <v>201</v>
      </c>
      <c r="R31" s="64">
        <v>0.2</v>
      </c>
      <c r="S31" s="50">
        <v>0.23</v>
      </c>
      <c r="T31" s="50" t="s">
        <v>528</v>
      </c>
      <c r="U31" s="50" t="s">
        <v>529</v>
      </c>
      <c r="V31" s="50" t="s">
        <v>530</v>
      </c>
      <c r="W31" s="50"/>
      <c r="X31" s="61" t="s">
        <v>528</v>
      </c>
      <c r="Y31" s="61" t="s">
        <v>529</v>
      </c>
      <c r="Z31" s="61" t="s">
        <v>530</v>
      </c>
    </row>
    <row r="32" spans="1:26" ht="30" customHeight="1" x14ac:dyDescent="0.25">
      <c r="A32" s="50"/>
      <c r="B32" s="50" t="s">
        <v>129</v>
      </c>
      <c r="C32" s="50" t="s">
        <v>202</v>
      </c>
      <c r="D32" s="50">
        <v>50</v>
      </c>
      <c r="E32" s="50">
        <v>15</v>
      </c>
      <c r="F32" s="50" t="s">
        <v>456</v>
      </c>
      <c r="G32" s="50">
        <v>43.57</v>
      </c>
      <c r="H32" s="50">
        <v>35.99</v>
      </c>
      <c r="I32" s="50">
        <v>36.799999999999997</v>
      </c>
      <c r="J32" s="50">
        <v>27.61</v>
      </c>
      <c r="K32" s="50">
        <v>23.17</v>
      </c>
      <c r="L32" s="57">
        <f t="shared" si="0"/>
        <v>0.18371428571428572</v>
      </c>
      <c r="M32" s="57">
        <f t="shared" si="1"/>
        <v>0.40028571428571424</v>
      </c>
      <c r="N32" s="57">
        <f t="shared" si="2"/>
        <v>0.37714285714285722</v>
      </c>
      <c r="O32" s="57">
        <f t="shared" si="3"/>
        <v>0.63971428571428568</v>
      </c>
      <c r="P32" s="57">
        <f t="shared" si="4"/>
        <v>0.76657142857142857</v>
      </c>
      <c r="Q32" s="63" t="s">
        <v>202</v>
      </c>
      <c r="R32" s="64">
        <v>0.1</v>
      </c>
      <c r="S32" s="50">
        <v>7.0000000000000007E-2</v>
      </c>
      <c r="T32" s="50" t="s">
        <v>531</v>
      </c>
      <c r="U32" s="50" t="s">
        <v>532</v>
      </c>
      <c r="V32" s="50" t="s">
        <v>533</v>
      </c>
      <c r="W32" s="50"/>
      <c r="X32" s="61" t="s">
        <v>531</v>
      </c>
      <c r="Y32" s="61" t="s">
        <v>532</v>
      </c>
      <c r="Z32" s="61" t="s">
        <v>533</v>
      </c>
    </row>
    <row r="33" spans="1:26" ht="30" customHeight="1" x14ac:dyDescent="0.25">
      <c r="A33" s="50"/>
      <c r="B33" s="50" t="s">
        <v>129</v>
      </c>
      <c r="C33" s="50" t="s">
        <v>203</v>
      </c>
      <c r="D33" s="50">
        <v>69</v>
      </c>
      <c r="E33" s="50">
        <v>103</v>
      </c>
      <c r="F33" s="50" t="s">
        <v>489</v>
      </c>
      <c r="G33" s="50">
        <v>72.06</v>
      </c>
      <c r="H33" s="50">
        <v>76.69</v>
      </c>
      <c r="I33" s="50">
        <v>85.61</v>
      </c>
      <c r="J33" s="50">
        <v>92.21</v>
      </c>
      <c r="K33" s="50">
        <v>96.15</v>
      </c>
      <c r="L33" s="57">
        <f t="shared" si="0"/>
        <v>9.0000000000000066E-2</v>
      </c>
      <c r="M33" s="57">
        <f t="shared" si="1"/>
        <v>0.22617647058823523</v>
      </c>
      <c r="N33" s="57">
        <f t="shared" si="2"/>
        <v>0.48852941176470588</v>
      </c>
      <c r="O33" s="57">
        <f t="shared" si="3"/>
        <v>0.68264705882352927</v>
      </c>
      <c r="P33" s="57">
        <f t="shared" si="4"/>
        <v>0.79852941176470604</v>
      </c>
      <c r="Q33" s="63" t="s">
        <v>203</v>
      </c>
      <c r="R33" s="64">
        <v>0.15</v>
      </c>
      <c r="S33" s="50">
        <v>0.18</v>
      </c>
      <c r="T33" s="50" t="s">
        <v>427</v>
      </c>
      <c r="U33" s="50" t="s">
        <v>534</v>
      </c>
      <c r="V33" s="50" t="s">
        <v>535</v>
      </c>
      <c r="W33" s="50"/>
      <c r="X33" s="61" t="s">
        <v>427</v>
      </c>
      <c r="Y33" s="61" t="s">
        <v>534</v>
      </c>
      <c r="Z33" s="61" t="s">
        <v>535</v>
      </c>
    </row>
    <row r="34" spans="1:26" ht="30" customHeight="1" x14ac:dyDescent="0.25">
      <c r="A34" s="50"/>
      <c r="B34" s="50" t="s">
        <v>129</v>
      </c>
      <c r="C34" s="50" t="s">
        <v>204</v>
      </c>
      <c r="D34" s="50">
        <v>73</v>
      </c>
      <c r="E34" s="50">
        <v>109</v>
      </c>
      <c r="F34" s="50" t="s">
        <v>489</v>
      </c>
      <c r="G34" s="50">
        <v>80.709999999999994</v>
      </c>
      <c r="H34" s="50">
        <v>80.61</v>
      </c>
      <c r="I34" s="50">
        <v>89.62</v>
      </c>
      <c r="J34" s="50">
        <v>92.33</v>
      </c>
      <c r="K34" s="50">
        <v>92.06</v>
      </c>
      <c r="L34" s="57">
        <f t="shared" si="0"/>
        <v>0.21416666666666651</v>
      </c>
      <c r="M34" s="57">
        <f t="shared" si="1"/>
        <v>0.21138888888888888</v>
      </c>
      <c r="N34" s="57">
        <f t="shared" si="2"/>
        <v>0.46166666666666678</v>
      </c>
      <c r="O34" s="57">
        <f t="shared" si="3"/>
        <v>0.53694444444444445</v>
      </c>
      <c r="P34" s="57">
        <f t="shared" si="4"/>
        <v>0.5294444444444445</v>
      </c>
      <c r="Q34" s="63" t="s">
        <v>204</v>
      </c>
      <c r="R34" s="64">
        <v>0.1</v>
      </c>
      <c r="S34" s="50">
        <v>0.11</v>
      </c>
      <c r="T34" s="50" t="s">
        <v>536</v>
      </c>
      <c r="U34" s="50" t="s">
        <v>537</v>
      </c>
      <c r="V34" s="50" t="s">
        <v>538</v>
      </c>
      <c r="W34" s="50"/>
      <c r="X34" s="61" t="s">
        <v>536</v>
      </c>
      <c r="Y34" s="61" t="s">
        <v>537</v>
      </c>
      <c r="Z34" s="61" t="s">
        <v>538</v>
      </c>
    </row>
    <row r="35" spans="1:26" ht="30" customHeight="1" x14ac:dyDescent="0.25">
      <c r="A35" s="50"/>
      <c r="B35" s="50" t="s">
        <v>129</v>
      </c>
      <c r="C35" s="50" t="s">
        <v>205</v>
      </c>
      <c r="D35" s="50">
        <v>79</v>
      </c>
      <c r="E35" s="50">
        <v>118</v>
      </c>
      <c r="F35" s="50" t="s">
        <v>489</v>
      </c>
      <c r="G35" s="50">
        <v>88.34</v>
      </c>
      <c r="H35" s="50">
        <v>95.77</v>
      </c>
      <c r="I35" s="50">
        <v>103.63</v>
      </c>
      <c r="J35" s="50">
        <v>111.16</v>
      </c>
      <c r="K35" s="50">
        <v>110.97</v>
      </c>
      <c r="L35" s="57">
        <f t="shared" si="0"/>
        <v>0.23948717948717957</v>
      </c>
      <c r="M35" s="57">
        <f t="shared" si="1"/>
        <v>0.42999999999999988</v>
      </c>
      <c r="N35" s="57">
        <f t="shared" si="2"/>
        <v>0.63153846153846138</v>
      </c>
      <c r="O35" s="57">
        <f t="shared" si="3"/>
        <v>0.82461538461538453</v>
      </c>
      <c r="P35" s="57">
        <f t="shared" si="4"/>
        <v>0.81974358974358974</v>
      </c>
      <c r="Q35" s="63" t="s">
        <v>205</v>
      </c>
      <c r="R35" s="64">
        <v>0.2</v>
      </c>
      <c r="S35" s="50">
        <v>0.22</v>
      </c>
      <c r="T35" s="50" t="s">
        <v>429</v>
      </c>
      <c r="U35" s="50" t="s">
        <v>539</v>
      </c>
      <c r="V35" s="50" t="s">
        <v>540</v>
      </c>
      <c r="W35" s="50"/>
      <c r="X35" s="61" t="s">
        <v>429</v>
      </c>
      <c r="Y35" s="61" t="s">
        <v>539</v>
      </c>
      <c r="Z35" s="61" t="s">
        <v>540</v>
      </c>
    </row>
    <row r="36" spans="1:26" ht="30" customHeight="1" x14ac:dyDescent="0.25">
      <c r="A36" s="50"/>
      <c r="B36" s="50" t="s">
        <v>129</v>
      </c>
      <c r="C36" s="50" t="s">
        <v>206</v>
      </c>
      <c r="D36" s="50">
        <v>75</v>
      </c>
      <c r="E36" s="50">
        <v>22</v>
      </c>
      <c r="F36" s="50" t="s">
        <v>456</v>
      </c>
      <c r="G36" s="50">
        <v>71.91</v>
      </c>
      <c r="H36" s="50">
        <v>62.79</v>
      </c>
      <c r="I36" s="50">
        <v>58.17</v>
      </c>
      <c r="J36" s="50">
        <v>45.11</v>
      </c>
      <c r="K36" s="50">
        <v>30.67</v>
      </c>
      <c r="L36" s="57">
        <f t="shared" si="0"/>
        <v>5.8301886792452892E-2</v>
      </c>
      <c r="M36" s="57">
        <f t="shared" si="1"/>
        <v>0.23037735849056606</v>
      </c>
      <c r="N36" s="57">
        <f t="shared" si="2"/>
        <v>0.3175471698113207</v>
      </c>
      <c r="O36" s="57">
        <f t="shared" si="3"/>
        <v>0.56396226415094342</v>
      </c>
      <c r="P36" s="57">
        <f t="shared" si="4"/>
        <v>0.83641509433962258</v>
      </c>
      <c r="Q36" s="63" t="s">
        <v>206</v>
      </c>
      <c r="R36" s="64">
        <v>0.1</v>
      </c>
      <c r="S36" s="50">
        <v>0.17</v>
      </c>
      <c r="T36" s="50" t="s">
        <v>431</v>
      </c>
      <c r="U36" s="50" t="s">
        <v>541</v>
      </c>
      <c r="V36" s="50" t="s">
        <v>542</v>
      </c>
      <c r="W36" s="50"/>
      <c r="X36" s="61" t="s">
        <v>431</v>
      </c>
      <c r="Y36" s="61" t="s">
        <v>541</v>
      </c>
      <c r="Z36" s="61" t="s">
        <v>542</v>
      </c>
    </row>
    <row r="37" spans="1:26" ht="30" customHeight="1" x14ac:dyDescent="0.25">
      <c r="A37" s="50"/>
      <c r="B37" s="50" t="s">
        <v>131</v>
      </c>
      <c r="C37" s="50" t="s">
        <v>433</v>
      </c>
      <c r="D37" s="50">
        <v>73</v>
      </c>
      <c r="E37" s="50">
        <v>109</v>
      </c>
      <c r="F37" s="50" t="s">
        <v>489</v>
      </c>
      <c r="G37" s="50">
        <v>79.540000000000006</v>
      </c>
      <c r="H37" s="50">
        <v>80.78</v>
      </c>
      <c r="I37" s="50">
        <v>85.95</v>
      </c>
      <c r="J37" s="50">
        <v>96.01</v>
      </c>
      <c r="K37" s="50">
        <v>100.42</v>
      </c>
      <c r="L37" s="57">
        <f t="shared" si="0"/>
        <v>0.18166666666666684</v>
      </c>
      <c r="M37" s="57">
        <f t="shared" si="1"/>
        <v>0.21611111111111114</v>
      </c>
      <c r="N37" s="57">
        <f t="shared" si="2"/>
        <v>0.35972222222222228</v>
      </c>
      <c r="O37" s="57">
        <f t="shared" si="3"/>
        <v>0.63916666666666677</v>
      </c>
      <c r="P37" s="57">
        <f t="shared" si="4"/>
        <v>0.76166666666666671</v>
      </c>
      <c r="Q37" s="53" t="s">
        <v>433</v>
      </c>
      <c r="R37" s="54">
        <v>0.18</v>
      </c>
      <c r="S37" s="50">
        <v>0.14000000000000001</v>
      </c>
      <c r="T37" s="50" t="s">
        <v>543</v>
      </c>
      <c r="U37" s="50" t="s">
        <v>544</v>
      </c>
      <c r="V37" s="50" t="s">
        <v>545</v>
      </c>
      <c r="W37" s="50"/>
      <c r="X37" s="61" t="s">
        <v>543</v>
      </c>
      <c r="Y37" s="61" t="s">
        <v>544</v>
      </c>
      <c r="Z37" s="61" t="s">
        <v>545</v>
      </c>
    </row>
    <row r="38" spans="1:26" ht="30" customHeight="1" x14ac:dyDescent="0.25">
      <c r="A38" s="50"/>
      <c r="B38" s="50" t="s">
        <v>131</v>
      </c>
      <c r="C38" s="50" t="s">
        <v>195</v>
      </c>
      <c r="D38" s="50">
        <v>65</v>
      </c>
      <c r="E38" s="50">
        <v>97</v>
      </c>
      <c r="F38" s="50" t="s">
        <v>489</v>
      </c>
      <c r="G38" s="50">
        <v>70.88</v>
      </c>
      <c r="H38" s="50">
        <v>70.760000000000005</v>
      </c>
      <c r="I38" s="50">
        <v>77.45</v>
      </c>
      <c r="J38" s="50">
        <v>88.22</v>
      </c>
      <c r="K38" s="50">
        <v>89.43</v>
      </c>
      <c r="L38" s="57">
        <f t="shared" si="0"/>
        <v>0.18374999999999986</v>
      </c>
      <c r="M38" s="57">
        <f t="shared" si="1"/>
        <v>0.18000000000000016</v>
      </c>
      <c r="N38" s="57">
        <f t="shared" si="2"/>
        <v>0.38906250000000009</v>
      </c>
      <c r="O38" s="57">
        <f t="shared" si="3"/>
        <v>0.72562499999999996</v>
      </c>
      <c r="P38" s="57">
        <f t="shared" si="4"/>
        <v>0.76343750000000021</v>
      </c>
      <c r="Q38" s="53" t="s">
        <v>195</v>
      </c>
      <c r="R38" s="54">
        <v>0.14000000000000001</v>
      </c>
      <c r="S38" s="50">
        <v>0.16</v>
      </c>
      <c r="T38" s="50" t="s">
        <v>436</v>
      </c>
      <c r="U38" s="50" t="s">
        <v>546</v>
      </c>
      <c r="V38" s="50" t="s">
        <v>547</v>
      </c>
      <c r="W38" s="50"/>
      <c r="X38" s="61" t="s">
        <v>436</v>
      </c>
      <c r="Y38" s="61" t="s">
        <v>546</v>
      </c>
      <c r="Z38" s="61" t="s">
        <v>547</v>
      </c>
    </row>
    <row r="39" spans="1:26" ht="30" customHeight="1" x14ac:dyDescent="0.25">
      <c r="A39" s="50"/>
      <c r="B39" s="50" t="s">
        <v>131</v>
      </c>
      <c r="C39" s="50" t="s">
        <v>196</v>
      </c>
      <c r="D39" s="50">
        <v>40</v>
      </c>
      <c r="E39" s="50">
        <v>60</v>
      </c>
      <c r="F39" s="50" t="s">
        <v>489</v>
      </c>
      <c r="G39" s="50">
        <v>43.8</v>
      </c>
      <c r="H39" s="50">
        <v>43.1</v>
      </c>
      <c r="I39" s="50">
        <v>49.11</v>
      </c>
      <c r="J39" s="50">
        <v>52.2</v>
      </c>
      <c r="K39" s="50">
        <v>56.49</v>
      </c>
      <c r="L39" s="57">
        <f t="shared" si="0"/>
        <v>0.18999999999999986</v>
      </c>
      <c r="M39" s="57">
        <f t="shared" si="1"/>
        <v>0.15500000000000008</v>
      </c>
      <c r="N39" s="57">
        <f t="shared" si="2"/>
        <v>0.45549999999999996</v>
      </c>
      <c r="O39" s="57">
        <f t="shared" si="3"/>
        <v>0.6100000000000001</v>
      </c>
      <c r="P39" s="57">
        <f t="shared" si="4"/>
        <v>0.82450000000000012</v>
      </c>
      <c r="Q39" s="53" t="s">
        <v>196</v>
      </c>
      <c r="R39" s="54">
        <v>0.14000000000000001</v>
      </c>
      <c r="S39" s="50">
        <v>0.16</v>
      </c>
      <c r="T39" s="50" t="s">
        <v>548</v>
      </c>
      <c r="U39" s="50" t="s">
        <v>549</v>
      </c>
      <c r="V39" s="50" t="s">
        <v>550</v>
      </c>
      <c r="W39" s="50"/>
      <c r="X39" s="61" t="s">
        <v>548</v>
      </c>
      <c r="Y39" s="61" t="s">
        <v>549</v>
      </c>
      <c r="Z39" s="61" t="s">
        <v>550</v>
      </c>
    </row>
    <row r="40" spans="1:26" ht="30" customHeight="1" x14ac:dyDescent="0.25">
      <c r="A40" s="50"/>
      <c r="B40" s="50" t="s">
        <v>131</v>
      </c>
      <c r="C40" s="50" t="s">
        <v>438</v>
      </c>
      <c r="D40" s="50">
        <v>66</v>
      </c>
      <c r="E40" s="50">
        <v>19</v>
      </c>
      <c r="F40" s="50" t="s">
        <v>456</v>
      </c>
      <c r="G40" s="50">
        <v>55.78</v>
      </c>
      <c r="H40" s="50">
        <v>60.7</v>
      </c>
      <c r="I40" s="50">
        <v>52.81</v>
      </c>
      <c r="J40" s="50">
        <v>41.51</v>
      </c>
      <c r="K40" s="50">
        <v>35.58</v>
      </c>
      <c r="L40" s="57">
        <f t="shared" si="0"/>
        <v>0.21744680851063827</v>
      </c>
      <c r="M40" s="57">
        <f t="shared" si="1"/>
        <v>0.11276595744680845</v>
      </c>
      <c r="N40" s="57">
        <f t="shared" si="2"/>
        <v>0.2806382978723404</v>
      </c>
      <c r="O40" s="57">
        <f t="shared" si="3"/>
        <v>0.52106382978723409</v>
      </c>
      <c r="P40" s="57">
        <f t="shared" si="4"/>
        <v>0.6472340425531915</v>
      </c>
      <c r="Q40" s="53" t="s">
        <v>438</v>
      </c>
      <c r="R40" s="54">
        <v>0.1</v>
      </c>
      <c r="S40" s="50">
        <v>0.13</v>
      </c>
      <c r="T40" s="50" t="s">
        <v>551</v>
      </c>
      <c r="U40" s="50" t="s">
        <v>552</v>
      </c>
      <c r="V40" s="50" t="s">
        <v>553</v>
      </c>
      <c r="W40" s="50"/>
      <c r="X40" s="61" t="s">
        <v>551</v>
      </c>
      <c r="Y40" s="61" t="s">
        <v>552</v>
      </c>
      <c r="Z40" s="61" t="s">
        <v>553</v>
      </c>
    </row>
    <row r="41" spans="1:26" ht="30" customHeight="1" x14ac:dyDescent="0.25">
      <c r="A41" s="50"/>
      <c r="B41" s="50" t="s">
        <v>131</v>
      </c>
      <c r="C41" s="50" t="s">
        <v>440</v>
      </c>
      <c r="D41" s="50">
        <v>67</v>
      </c>
      <c r="E41" s="50">
        <v>20</v>
      </c>
      <c r="F41" s="50" t="s">
        <v>456</v>
      </c>
      <c r="G41" s="50">
        <v>66.040000000000006</v>
      </c>
      <c r="H41" s="50">
        <v>52.11</v>
      </c>
      <c r="I41" s="50">
        <v>52.38</v>
      </c>
      <c r="J41" s="50">
        <v>41.46</v>
      </c>
      <c r="K41" s="50">
        <v>35.93</v>
      </c>
      <c r="L41" s="57">
        <f t="shared" si="0"/>
        <v>2.0425531914893484E-2</v>
      </c>
      <c r="M41" s="57">
        <f t="shared" si="1"/>
        <v>0.3168085106382979</v>
      </c>
      <c r="N41" s="57">
        <f t="shared" si="2"/>
        <v>0.31106382978723401</v>
      </c>
      <c r="O41" s="57">
        <f t="shared" si="3"/>
        <v>0.54340425531914893</v>
      </c>
      <c r="P41" s="57">
        <f t="shared" si="4"/>
        <v>0.6610638297872341</v>
      </c>
      <c r="Q41" s="53" t="s">
        <v>440</v>
      </c>
      <c r="R41" s="54">
        <v>0.1</v>
      </c>
      <c r="S41" s="50">
        <v>0.17</v>
      </c>
      <c r="T41" s="50" t="s">
        <v>441</v>
      </c>
      <c r="U41" s="50" t="s">
        <v>554</v>
      </c>
      <c r="V41" s="50" t="s">
        <v>442</v>
      </c>
      <c r="W41" s="50"/>
      <c r="X41" s="61" t="s">
        <v>441</v>
      </c>
      <c r="Y41" s="61" t="s">
        <v>554</v>
      </c>
      <c r="Z41" s="61" t="s">
        <v>442</v>
      </c>
    </row>
    <row r="42" spans="1:26" ht="30" customHeight="1" x14ac:dyDescent="0.25">
      <c r="A42" s="50"/>
      <c r="B42" s="50" t="s">
        <v>131</v>
      </c>
      <c r="C42" s="50" t="s">
        <v>197</v>
      </c>
      <c r="D42" s="50">
        <v>51</v>
      </c>
      <c r="E42" s="50">
        <v>15</v>
      </c>
      <c r="F42" s="50" t="s">
        <v>456</v>
      </c>
      <c r="G42" s="50">
        <v>45.85</v>
      </c>
      <c r="H42" s="50">
        <v>41.95</v>
      </c>
      <c r="I42" s="50">
        <v>32.49</v>
      </c>
      <c r="J42" s="50">
        <v>32.9</v>
      </c>
      <c r="K42" s="50">
        <v>24.05</v>
      </c>
      <c r="L42" s="57">
        <f t="shared" si="0"/>
        <v>0.14305555555555552</v>
      </c>
      <c r="M42" s="57">
        <f t="shared" si="1"/>
        <v>0.25138888888888883</v>
      </c>
      <c r="N42" s="57">
        <f t="shared" si="2"/>
        <v>0.51416666666666666</v>
      </c>
      <c r="O42" s="57">
        <f t="shared" si="3"/>
        <v>0.50277777777777777</v>
      </c>
      <c r="P42" s="57">
        <f t="shared" si="4"/>
        <v>0.74861111111111112</v>
      </c>
      <c r="Q42" s="53" t="s">
        <v>197</v>
      </c>
      <c r="R42" s="54">
        <v>0.2</v>
      </c>
      <c r="S42" s="50">
        <v>0.24</v>
      </c>
      <c r="T42" s="50" t="s">
        <v>555</v>
      </c>
      <c r="U42" s="50" t="s">
        <v>556</v>
      </c>
      <c r="V42" s="50" t="s">
        <v>444</v>
      </c>
      <c r="W42" s="50"/>
      <c r="X42" s="61" t="s">
        <v>555</v>
      </c>
      <c r="Y42" s="61" t="s">
        <v>556</v>
      </c>
      <c r="Z42" s="61" t="s">
        <v>444</v>
      </c>
    </row>
    <row r="43" spans="1:26" ht="30" customHeight="1" x14ac:dyDescent="0.25">
      <c r="A43" s="50"/>
      <c r="B43" s="50" t="s">
        <v>131</v>
      </c>
      <c r="C43" s="50" t="s">
        <v>445</v>
      </c>
      <c r="D43" s="50">
        <v>64</v>
      </c>
      <c r="E43" s="50">
        <v>19</v>
      </c>
      <c r="F43" s="50" t="s">
        <v>456</v>
      </c>
      <c r="G43" s="50">
        <v>60.09</v>
      </c>
      <c r="H43" s="50">
        <v>52.08</v>
      </c>
      <c r="I43" s="50">
        <v>49.39</v>
      </c>
      <c r="J43" s="50">
        <v>42.51</v>
      </c>
      <c r="K43" s="50">
        <v>32.770000000000003</v>
      </c>
      <c r="L43" s="57">
        <f t="shared" si="0"/>
        <v>8.6888888888888807E-2</v>
      </c>
      <c r="M43" s="57">
        <f t="shared" si="1"/>
        <v>0.26488888888888895</v>
      </c>
      <c r="N43" s="57">
        <f t="shared" si="2"/>
        <v>0.32466666666666666</v>
      </c>
      <c r="O43" s="57">
        <f t="shared" si="3"/>
        <v>0.47755555555555562</v>
      </c>
      <c r="P43" s="57">
        <f t="shared" si="4"/>
        <v>0.69399999999999995</v>
      </c>
      <c r="Q43" s="53" t="s">
        <v>445</v>
      </c>
      <c r="R43" s="54">
        <v>0.14000000000000001</v>
      </c>
      <c r="S43" s="50">
        <v>0.16</v>
      </c>
      <c r="T43" s="50" t="s">
        <v>557</v>
      </c>
      <c r="U43" s="50" t="s">
        <v>558</v>
      </c>
      <c r="V43" s="50" t="s">
        <v>559</v>
      </c>
      <c r="W43" s="50"/>
      <c r="X43" s="61" t="s">
        <v>557</v>
      </c>
      <c r="Y43" s="61" t="s">
        <v>558</v>
      </c>
      <c r="Z43" s="61" t="s">
        <v>559</v>
      </c>
    </row>
    <row r="44" spans="1:26" ht="30" customHeight="1" x14ac:dyDescent="0.25">
      <c r="A44" s="50"/>
      <c r="B44" s="50" t="s">
        <v>133</v>
      </c>
      <c r="C44" s="50" t="s">
        <v>560</v>
      </c>
      <c r="D44" s="50">
        <v>62</v>
      </c>
      <c r="E44" s="50">
        <v>93</v>
      </c>
      <c r="F44" s="50" t="s">
        <v>489</v>
      </c>
      <c r="G44" s="50">
        <v>64.84</v>
      </c>
      <c r="H44" s="50">
        <v>72</v>
      </c>
      <c r="I44" s="50">
        <v>76.180000000000007</v>
      </c>
      <c r="J44" s="50">
        <v>73.510000000000005</v>
      </c>
      <c r="K44" s="50">
        <v>77.7</v>
      </c>
      <c r="L44" s="57">
        <f t="shared" si="0"/>
        <v>9.1612903225806563E-2</v>
      </c>
      <c r="M44" s="57">
        <f t="shared" si="1"/>
        <v>0.32258064516129031</v>
      </c>
      <c r="N44" s="57">
        <f t="shared" si="2"/>
        <v>0.45741935483870988</v>
      </c>
      <c r="O44" s="57">
        <f t="shared" si="3"/>
        <v>0.37129032258064532</v>
      </c>
      <c r="P44" s="57">
        <f t="shared" si="4"/>
        <v>0.50645161290322593</v>
      </c>
      <c r="Q44" s="55" t="s">
        <v>560</v>
      </c>
      <c r="R44" s="62">
        <v>0.6</v>
      </c>
      <c r="S44" s="50">
        <v>0.11</v>
      </c>
      <c r="T44" s="50" t="s">
        <v>561</v>
      </c>
      <c r="U44" s="50" t="s">
        <v>562</v>
      </c>
      <c r="V44" s="50" t="s">
        <v>563</v>
      </c>
      <c r="W44" s="50"/>
      <c r="X44" s="61" t="s">
        <v>561</v>
      </c>
      <c r="Y44" s="61" t="s">
        <v>562</v>
      </c>
      <c r="Z44" s="61" t="s">
        <v>563</v>
      </c>
    </row>
    <row r="45" spans="1:26" ht="30" customHeight="1" x14ac:dyDescent="0.25">
      <c r="A45" s="50"/>
      <c r="B45" s="50" t="s">
        <v>133</v>
      </c>
      <c r="C45" s="50" t="s">
        <v>564</v>
      </c>
      <c r="D45" s="50">
        <v>63</v>
      </c>
      <c r="E45" s="50">
        <v>94</v>
      </c>
      <c r="F45" s="50" t="s">
        <v>489</v>
      </c>
      <c r="G45" s="50">
        <v>69.739999999999995</v>
      </c>
      <c r="H45" s="50">
        <v>72.87</v>
      </c>
      <c r="I45" s="50">
        <v>77.540000000000006</v>
      </c>
      <c r="J45" s="50">
        <v>78.44</v>
      </c>
      <c r="K45" s="50">
        <v>80.38</v>
      </c>
      <c r="L45" s="57">
        <f t="shared" si="0"/>
        <v>0.2174193548387095</v>
      </c>
      <c r="M45" s="57">
        <f t="shared" si="1"/>
        <v>0.31838709677419369</v>
      </c>
      <c r="N45" s="57">
        <f t="shared" si="2"/>
        <v>0.46903225806451632</v>
      </c>
      <c r="O45" s="57">
        <f t="shared" si="3"/>
        <v>0.49806451612903219</v>
      </c>
      <c r="P45" s="57">
        <f t="shared" si="4"/>
        <v>0.56064516129032238</v>
      </c>
      <c r="Q45" s="51" t="s">
        <v>564</v>
      </c>
      <c r="R45" s="62">
        <v>0.4</v>
      </c>
      <c r="S45" s="50">
        <v>0.06</v>
      </c>
      <c r="T45" s="50" t="s">
        <v>564</v>
      </c>
      <c r="U45" s="50" t="s">
        <v>565</v>
      </c>
      <c r="V45" s="50" t="s">
        <v>566</v>
      </c>
      <c r="W45" s="50"/>
      <c r="X45" s="61" t="s">
        <v>564</v>
      </c>
      <c r="Y45" s="61" t="s">
        <v>565</v>
      </c>
      <c r="Z45" s="61" t="s">
        <v>566</v>
      </c>
    </row>
    <row r="46" spans="1:26" ht="30" customHeight="1" x14ac:dyDescent="0.25">
      <c r="A46" s="50"/>
      <c r="B46" s="50" t="s">
        <v>135</v>
      </c>
      <c r="C46" s="50" t="s">
        <v>567</v>
      </c>
      <c r="D46" s="50">
        <v>41</v>
      </c>
      <c r="E46" s="50">
        <v>12</v>
      </c>
      <c r="F46" s="50" t="s">
        <v>456</v>
      </c>
      <c r="G46" s="50">
        <v>35.28</v>
      </c>
      <c r="H46" s="50">
        <v>31.61</v>
      </c>
      <c r="I46" s="50">
        <v>23.25</v>
      </c>
      <c r="J46" s="50">
        <v>19.82</v>
      </c>
      <c r="K46" s="50">
        <v>20.010000000000002</v>
      </c>
      <c r="L46" s="57">
        <f t="shared" si="0"/>
        <v>0.1972413793103448</v>
      </c>
      <c r="M46" s="57">
        <f t="shared" si="1"/>
        <v>0.32379310344827589</v>
      </c>
      <c r="N46" s="57">
        <f t="shared" si="2"/>
        <v>0.61206896551724133</v>
      </c>
      <c r="O46" s="57">
        <f t="shared" si="3"/>
        <v>0.73034482758620689</v>
      </c>
      <c r="P46" s="57">
        <f t="shared" si="4"/>
        <v>0.72379310344827585</v>
      </c>
      <c r="Q46" s="53" t="s">
        <v>567</v>
      </c>
      <c r="R46" s="54">
        <v>0.3</v>
      </c>
      <c r="S46" s="50">
        <v>0.19</v>
      </c>
      <c r="T46" s="50" t="s">
        <v>568</v>
      </c>
      <c r="U46" s="50" t="s">
        <v>569</v>
      </c>
      <c r="V46" s="50" t="s">
        <v>570</v>
      </c>
      <c r="W46" s="50"/>
      <c r="X46" s="61" t="s">
        <v>568</v>
      </c>
      <c r="Y46" s="61" t="s">
        <v>569</v>
      </c>
      <c r="Z46" s="61" t="s">
        <v>570</v>
      </c>
    </row>
    <row r="47" spans="1:26" ht="30" customHeight="1" x14ac:dyDescent="0.25">
      <c r="A47" s="50"/>
      <c r="B47" s="50" t="s">
        <v>135</v>
      </c>
      <c r="C47" s="50" t="s">
        <v>571</v>
      </c>
      <c r="D47" s="50">
        <v>56</v>
      </c>
      <c r="E47" s="50">
        <v>16</v>
      </c>
      <c r="F47" s="50" t="s">
        <v>456</v>
      </c>
      <c r="G47" s="50">
        <v>52.02</v>
      </c>
      <c r="H47" s="50">
        <v>42.63</v>
      </c>
      <c r="I47" s="50">
        <v>32.119999999999997</v>
      </c>
      <c r="J47" s="50">
        <v>31.97</v>
      </c>
      <c r="K47" s="50">
        <v>26.25</v>
      </c>
      <c r="L47" s="57">
        <f t="shared" si="0"/>
        <v>9.9499999999999922E-2</v>
      </c>
      <c r="M47" s="57">
        <f t="shared" si="1"/>
        <v>0.33424999999999994</v>
      </c>
      <c r="N47" s="57">
        <f t="shared" si="2"/>
        <v>0.59700000000000009</v>
      </c>
      <c r="O47" s="57">
        <f t="shared" si="3"/>
        <v>0.60075000000000001</v>
      </c>
      <c r="P47" s="57">
        <f t="shared" si="4"/>
        <v>0.74375000000000002</v>
      </c>
      <c r="Q47" s="53" t="s">
        <v>571</v>
      </c>
      <c r="R47" s="54">
        <v>0.2</v>
      </c>
      <c r="S47" s="50">
        <v>0.08</v>
      </c>
      <c r="T47" s="50" t="s">
        <v>572</v>
      </c>
      <c r="U47" s="50" t="s">
        <v>573</v>
      </c>
      <c r="V47" s="50" t="s">
        <v>574</v>
      </c>
      <c r="W47" s="50"/>
      <c r="X47" s="61" t="s">
        <v>572</v>
      </c>
      <c r="Y47" s="61" t="s">
        <v>573</v>
      </c>
      <c r="Z47" s="61" t="s">
        <v>574</v>
      </c>
    </row>
    <row r="48" spans="1:26" ht="30" customHeight="1" x14ac:dyDescent="0.25">
      <c r="A48" s="50"/>
      <c r="B48" s="50" t="s">
        <v>135</v>
      </c>
      <c r="C48" s="50" t="s">
        <v>575</v>
      </c>
      <c r="D48" s="50">
        <v>56</v>
      </c>
      <c r="E48" s="50">
        <v>16</v>
      </c>
      <c r="F48" s="50" t="s">
        <v>456</v>
      </c>
      <c r="G48" s="50">
        <v>51.34</v>
      </c>
      <c r="H48" s="50">
        <v>49.89</v>
      </c>
      <c r="I48" s="50">
        <v>41.17</v>
      </c>
      <c r="J48" s="50">
        <v>34.56</v>
      </c>
      <c r="K48" s="50">
        <v>35.35</v>
      </c>
      <c r="L48" s="57">
        <f t="shared" si="0"/>
        <v>0.11649999999999991</v>
      </c>
      <c r="M48" s="57">
        <f t="shared" si="1"/>
        <v>0.15275</v>
      </c>
      <c r="N48" s="57">
        <f t="shared" si="2"/>
        <v>0.37074999999999997</v>
      </c>
      <c r="O48" s="57">
        <f t="shared" si="3"/>
        <v>0.53599999999999992</v>
      </c>
      <c r="P48" s="57">
        <f t="shared" si="4"/>
        <v>0.51624999999999999</v>
      </c>
      <c r="Q48" s="53" t="s">
        <v>575</v>
      </c>
      <c r="R48" s="54">
        <v>0.2</v>
      </c>
      <c r="S48" s="50">
        <v>0.24</v>
      </c>
      <c r="T48" s="50" t="s">
        <v>575</v>
      </c>
      <c r="U48" s="50" t="s">
        <v>576</v>
      </c>
      <c r="V48" s="50" t="s">
        <v>577</v>
      </c>
      <c r="W48" s="50"/>
      <c r="X48" s="61" t="s">
        <v>575</v>
      </c>
      <c r="Y48" s="61" t="s">
        <v>576</v>
      </c>
      <c r="Z48" s="61" t="s">
        <v>577</v>
      </c>
    </row>
    <row r="49" spans="1:26" ht="30" customHeight="1" x14ac:dyDescent="0.25">
      <c r="A49" s="50"/>
      <c r="B49" s="50" t="s">
        <v>135</v>
      </c>
      <c r="C49" s="50" t="s">
        <v>578</v>
      </c>
      <c r="D49" s="50">
        <v>64</v>
      </c>
      <c r="E49" s="50">
        <v>19</v>
      </c>
      <c r="F49" s="50" t="s">
        <v>456</v>
      </c>
      <c r="G49" s="50">
        <v>60.42</v>
      </c>
      <c r="H49" s="50">
        <v>51.86</v>
      </c>
      <c r="I49" s="50">
        <v>39.19</v>
      </c>
      <c r="J49" s="50">
        <v>31.65</v>
      </c>
      <c r="K49" s="50">
        <v>33.659999999999997</v>
      </c>
      <c r="L49" s="57">
        <f t="shared" si="0"/>
        <v>7.9555555555555518E-2</v>
      </c>
      <c r="M49" s="57">
        <f t="shared" si="1"/>
        <v>0.26977777777777778</v>
      </c>
      <c r="N49" s="57">
        <f t="shared" si="2"/>
        <v>0.55133333333333334</v>
      </c>
      <c r="O49" s="57">
        <f t="shared" si="3"/>
        <v>0.71888888888888891</v>
      </c>
      <c r="P49" s="57">
        <f t="shared" si="4"/>
        <v>0.67422222222222228</v>
      </c>
      <c r="Q49" s="53" t="s">
        <v>578</v>
      </c>
      <c r="R49" s="54">
        <v>0.3</v>
      </c>
      <c r="S49" s="50">
        <v>0.12</v>
      </c>
      <c r="T49" s="50" t="s">
        <v>579</v>
      </c>
      <c r="U49" s="50" t="s">
        <v>580</v>
      </c>
      <c r="V49" s="50" t="s">
        <v>581</v>
      </c>
      <c r="W49" s="50"/>
      <c r="X49" s="61" t="s">
        <v>579</v>
      </c>
      <c r="Y49" s="61" t="s">
        <v>580</v>
      </c>
      <c r="Z49" s="61" t="s">
        <v>581</v>
      </c>
    </row>
    <row r="50" spans="1:26" ht="30" customHeight="1" x14ac:dyDescent="0.25">
      <c r="A50" s="50"/>
      <c r="B50" s="50"/>
      <c r="C50" s="50"/>
      <c r="D50" s="50"/>
      <c r="E50" s="50"/>
      <c r="F50" s="50"/>
      <c r="G50" s="50"/>
      <c r="H50" s="50"/>
      <c r="I50" s="50"/>
      <c r="J50" s="50"/>
      <c r="K50" s="50"/>
      <c r="L50" s="50"/>
      <c r="M50" s="50"/>
      <c r="N50" s="50"/>
      <c r="O50" s="50"/>
      <c r="P50" s="50"/>
      <c r="Q50" s="55"/>
      <c r="R50" s="52"/>
      <c r="S50" s="52"/>
      <c r="T50" s="50"/>
      <c r="U50" s="50"/>
      <c r="V50" s="50"/>
      <c r="W50" s="50"/>
      <c r="X50" s="50"/>
      <c r="Y50" s="50"/>
      <c r="Z50" s="50"/>
    </row>
  </sheetData>
  <sheetProtection password="EBB1" sheet="1" formatColumns="0" formatRows="0" sort="0" autoFilter="0"/>
  <pageMargins left="0.7" right="0.7" top="0.75" bottom="0.75"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zoomScaleNormal="100" workbookViewId="0">
      <pane ySplit="6" topLeftCell="A7" activePane="bottomLeft" state="frozen"/>
      <selection pane="bottomLeft"/>
    </sheetView>
  </sheetViews>
  <sheetFormatPr defaultColWidth="8.7109375" defaultRowHeight="15" x14ac:dyDescent="0.25"/>
  <cols>
    <col min="1" max="1" width="12" style="15" customWidth="1"/>
    <col min="2" max="2" width="30" style="15" customWidth="1"/>
    <col min="3" max="3" width="9" style="15" customWidth="1"/>
    <col min="4" max="4" width="15" style="15" customWidth="1"/>
    <col min="5" max="5" width="22" style="15" customWidth="1"/>
    <col min="6" max="10" width="9" style="15" customWidth="1"/>
    <col min="11" max="11" width="8" style="15" customWidth="1"/>
    <col min="12" max="12" width="11" style="15" customWidth="1"/>
    <col min="13" max="13" width="26" style="15" customWidth="1"/>
  </cols>
  <sheetData>
    <row r="1" spans="1:13" ht="21.75" customHeight="1" x14ac:dyDescent="0.25">
      <c r="A1" s="3" t="s">
        <v>582</v>
      </c>
      <c r="B1" s="3"/>
      <c r="C1" s="3"/>
      <c r="D1" s="3"/>
      <c r="E1" s="3"/>
      <c r="F1" s="3"/>
      <c r="G1" s="3"/>
      <c r="H1" s="3"/>
      <c r="I1" s="3"/>
      <c r="J1" s="3"/>
      <c r="K1" s="3"/>
      <c r="L1" s="3"/>
      <c r="M1" s="3"/>
    </row>
    <row r="2" spans="1:13" ht="43.5" customHeight="1" x14ac:dyDescent="0.25">
      <c r="A2" s="2" t="s">
        <v>583</v>
      </c>
      <c r="B2" s="2"/>
      <c r="C2" s="2"/>
      <c r="D2" s="2"/>
      <c r="E2" s="2"/>
      <c r="F2" s="2"/>
      <c r="G2" s="2"/>
      <c r="H2" s="2"/>
      <c r="I2" s="2"/>
      <c r="J2" s="2"/>
      <c r="K2" s="2"/>
      <c r="L2" s="2"/>
      <c r="M2" s="2"/>
    </row>
    <row r="4" spans="1:13" ht="33.75" customHeight="1" x14ac:dyDescent="0.25">
      <c r="A4" s="1" t="s">
        <v>584</v>
      </c>
      <c r="B4" s="1"/>
      <c r="C4" s="66" t="s">
        <v>585</v>
      </c>
      <c r="D4" s="355" t="s">
        <v>586</v>
      </c>
      <c r="E4" s="355"/>
      <c r="F4" s="355"/>
      <c r="G4" s="355"/>
      <c r="H4" s="355"/>
      <c r="I4" s="355"/>
      <c r="J4" s="355"/>
      <c r="K4" s="355"/>
      <c r="L4" s="355"/>
      <c r="M4" s="355"/>
    </row>
    <row r="6" spans="1:13" ht="33.75" customHeight="1" x14ac:dyDescent="0.25">
      <c r="A6" s="16" t="s">
        <v>587</v>
      </c>
      <c r="B6" s="16" t="s">
        <v>588</v>
      </c>
      <c r="C6" s="16" t="s">
        <v>589</v>
      </c>
      <c r="D6" s="16" t="s">
        <v>590</v>
      </c>
      <c r="E6" s="16" t="s">
        <v>591</v>
      </c>
      <c r="F6" s="67" t="s">
        <v>228</v>
      </c>
      <c r="G6" s="67" t="s">
        <v>229</v>
      </c>
      <c r="H6" s="67" t="s">
        <v>230</v>
      </c>
      <c r="I6" s="67" t="s">
        <v>231</v>
      </c>
      <c r="J6" s="67" t="s">
        <v>232</v>
      </c>
      <c r="K6" s="68" t="s">
        <v>592</v>
      </c>
      <c r="L6" s="68" t="s">
        <v>593</v>
      </c>
      <c r="M6" s="16" t="s">
        <v>594</v>
      </c>
    </row>
    <row r="7" spans="1:13" ht="30" customHeight="1" x14ac:dyDescent="0.25">
      <c r="A7" s="69" t="s">
        <v>172</v>
      </c>
      <c r="B7" s="70" t="s">
        <v>595</v>
      </c>
      <c r="C7" s="71">
        <v>0.2</v>
      </c>
      <c r="D7" s="72" t="s">
        <v>596</v>
      </c>
      <c r="E7" s="73" t="str">
        <f>IF($C$4="ЕКСПРЕС",IF(ISNUMBER(MATCH($A7,'2_Parameter_Scores'!$B$2:$B$34,0)),"Експрес (лист 2)","— немає"),IF($C$4="ПОВНЕ",IF(ISNUMBER(MATCH($A7,'3_коефіцієнти_розширеного_аналі'!$C$2:$C$49,0)),"Повне (лист 3)","— немає"),IF(ISNUMBER(MATCH($A7,'3_коефіцієнти_розширеного_аналі'!$C$2:$C$49,0)),"Повне (лист 3)",IF(ISNUMBER(MATCH($A7,'2_Parameter_Scores'!$B$2:$B$34,0)),"Експрес (лист 2)","— немає"))))</f>
        <v>Повне (лист 3)</v>
      </c>
      <c r="F7" s="74">
        <f>IFERROR(IF($C$4="ЕКСПРЕС",INDEX('2_Parameter_Scores'!$H$2:$H$34,MATCH($A7,'2_Parameter_Scores'!$B$2:$B$34,0)),IF($C$4="ПОВНЕ",INDEX('3_коефіцієнти_розширеного_аналі'!$L$2:$L$49,MATCH($A7,'3_коефіцієнти_розширеного_аналі'!$C$2:$C$49,0)),IFERROR(INDEX('3_коефіцієнти_розширеного_аналі'!$L$2:$L$49,MATCH($A7,'3_коефіцієнти_розширеного_аналі'!$C$2:$C$49,0)),INDEX('2_Parameter_Scores'!$H$2:$H$34,MATCH($A7,'2_Parameter_Scores'!$B$2:$B$34,0))))),0)</f>
        <v>6.0512820512820496E-2</v>
      </c>
      <c r="G7" s="74">
        <f>IFERROR(IF($C$4="ЕКСПРЕС",INDEX('2_Parameter_Scores'!$I$2:$I$34,MATCH($A7,'2_Parameter_Scores'!$B$2:$B$34,0)),IF($C$4="ПОВНЕ",INDEX('3_коефіцієнти_розширеного_аналі'!$M$2:$M$49,MATCH($A7,'3_коефіцієнти_розширеного_аналі'!$C$2:$C$49,0)),IFERROR(INDEX('3_коефіцієнти_розширеного_аналі'!$M$2:$M$49,MATCH($A7,'3_коефіцієнти_розширеного_аналі'!$C$2:$C$49,0)),INDEX('2_Parameter_Scores'!$I$2:$I$34,MATCH($A7,'2_Parameter_Scores'!$B$2:$B$34,0))))),0)</f>
        <v>0.1215384615384616</v>
      </c>
      <c r="H7" s="74">
        <f>IFERROR(IF($C$4="ЕКСПРЕС",INDEX('2_Parameter_Scores'!$J$2:$J$34,MATCH($A7,'2_Parameter_Scores'!$B$2:$B$34,0)),IF($C$4="ПОВНЕ",INDEX('3_коефіцієнти_розширеного_аналі'!$N$2:$N$49,MATCH($A7,'3_коефіцієнти_розширеного_аналі'!$C$2:$C$49,0)),IFERROR(INDEX('3_коефіцієнти_розширеного_аналі'!$N$2:$N$49,MATCH($A7,'3_коефіцієнти_розширеного_аналі'!$C$2:$C$49,0)),INDEX('2_Parameter_Scores'!$J$2:$J$34,MATCH($A7,'2_Parameter_Scores'!$B$2:$B$34,0))))),0)</f>
        <v>0.30641025641025649</v>
      </c>
      <c r="I7" s="74">
        <f>IFERROR(IF($C$4="ЕКСПРЕС",INDEX('2_Parameter_Scores'!$K$2:$K$34,MATCH($A7,'2_Parameter_Scores'!$B$2:$B$34,0)),IF($C$4="ПОВНЕ",INDEX('3_коефіцієнти_розширеного_аналі'!$O$2:$O$49,MATCH($A7,'3_коефіцієнти_розширеного_аналі'!$C$2:$C$49,0)),IFERROR(INDEX('3_коефіцієнти_розширеного_аналі'!$O$2:$O$49,MATCH($A7,'3_коефіцієнти_розширеного_аналі'!$C$2:$C$49,0)),INDEX('2_Parameter_Scores'!$K$2:$K$34,MATCH($A7,'2_Parameter_Scores'!$B$2:$B$34,0))))),0)</f>
        <v>0.42282051282051286</v>
      </c>
      <c r="J7" s="74">
        <f>IFERROR(IF($C$4="ЕКСПРЕС",INDEX('2_Parameter_Scores'!$L$2:$L$34,MATCH($A7,'2_Parameter_Scores'!$B$2:$B$34,0)),IF($C$4="ПОВНЕ",INDEX('3_коефіцієнти_розширеного_аналі'!$P$2:$P$49,MATCH($A7,'3_коефіцієнти_розширеного_аналі'!$C$2:$C$49,0)),IFERROR(INDEX('3_коефіцієнти_розширеного_аналі'!$P$2:$P$49,MATCH($A7,'3_коефіцієнти_розширеного_аналі'!$C$2:$C$49,0)),INDEX('2_Parameter_Scores'!$L$2:$L$34,MATCH($A7,'2_Parameter_Scores'!$B$2:$B$34,0))))),0)</f>
        <v>0.57641025641025634</v>
      </c>
      <c r="K7" s="75">
        <f t="shared" ref="K7:K14" si="0">IF(LEFT($E7,1)="—",0,1)</f>
        <v>1</v>
      </c>
      <c r="L7" s="76">
        <f t="shared" ref="L7:L14" si="1">IF($K7=0,0,$C7/SUMPRODUCT($C$7:$C$14,$K$7:$K$14))</f>
        <v>0.18181818181818182</v>
      </c>
      <c r="M7" s="77" t="s">
        <v>597</v>
      </c>
    </row>
    <row r="8" spans="1:13" ht="30" customHeight="1" x14ac:dyDescent="0.25">
      <c r="A8" s="78" t="s">
        <v>188</v>
      </c>
      <c r="B8" s="79" t="s">
        <v>598</v>
      </c>
      <c r="C8" s="71">
        <v>0.15</v>
      </c>
      <c r="D8" s="80" t="s">
        <v>599</v>
      </c>
      <c r="E8" s="81" t="str">
        <f>IF($C$4="ЕКСПРЕС",IF(ISNUMBER(MATCH($A8,'2_Parameter_Scores'!$B$2:$B$34,0)),"Експрес (лист 2)","— немає"),IF($C$4="ПОВНЕ",IF(ISNUMBER(MATCH($A8,'3_коефіцієнти_розширеного_аналі'!$C$2:$C$49,0)),"Повне (лист 3)","— немає"),IF(ISNUMBER(MATCH($A8,'3_коефіцієнти_розширеного_аналі'!$C$2:$C$49,0)),"Повне (лист 3)",IF(ISNUMBER(MATCH($A8,'2_Parameter_Scores'!$B$2:$B$34,0)),"Експрес (лист 2)","— немає"))))</f>
        <v>Повне (лист 3)</v>
      </c>
      <c r="F8" s="82">
        <f>IFERROR(IF($C$4="ЕКСПРЕС",INDEX('2_Parameter_Scores'!$H$2:$H$34,MATCH($A8,'2_Parameter_Scores'!$B$2:$B$34,0)),IF($C$4="ПОВНЕ",INDEX('3_коефіцієнти_розширеного_аналі'!$L$2:$L$49,MATCH($A8,'3_коефіцієнти_розширеного_аналі'!$C$2:$C$49,0)),IFERROR(INDEX('3_коефіцієнти_розширеного_аналі'!$L$2:$L$49,MATCH($A8,'3_коефіцієнти_розширеного_аналі'!$C$2:$C$49,0)),INDEX('2_Parameter_Scores'!$H$2:$H$34,MATCH($A8,'2_Parameter_Scores'!$B$2:$B$34,0))))),0)</f>
        <v>0.15371428571428558</v>
      </c>
      <c r="G8" s="82">
        <f>IFERROR(IF($C$4="ЕКСПРЕС",INDEX('2_Parameter_Scores'!$I$2:$I$34,MATCH($A8,'2_Parameter_Scores'!$B$2:$B$34,0)),IF($C$4="ПОВНЕ",INDEX('3_коефіцієнти_розширеного_аналі'!$M$2:$M$49,MATCH($A8,'3_коефіцієнти_розширеного_аналі'!$C$2:$C$49,0)),IFERROR(INDEX('3_коефіцієнти_розширеного_аналі'!$M$2:$M$49,MATCH($A8,'3_коефіцієнти_розширеного_аналі'!$C$2:$C$49,0)),INDEX('2_Parameter_Scores'!$I$2:$I$34,MATCH($A8,'2_Parameter_Scores'!$B$2:$B$34,0))))),0)</f>
        <v>0.35514285714285732</v>
      </c>
      <c r="H8" s="82">
        <f>IFERROR(IF($C$4="ЕКСПРЕС",INDEX('2_Parameter_Scores'!$J$2:$J$34,MATCH($A8,'2_Parameter_Scores'!$B$2:$B$34,0)),IF($C$4="ПОВНЕ",INDEX('3_коефіцієнти_розширеного_аналі'!$N$2:$N$49,MATCH($A8,'3_коефіцієнти_розширеного_аналі'!$C$2:$C$49,0)),IFERROR(INDEX('3_коефіцієнти_розширеного_аналі'!$N$2:$N$49,MATCH($A8,'3_коефіцієнти_розширеного_аналі'!$C$2:$C$49,0)),INDEX('2_Parameter_Scores'!$J$2:$J$34,MATCH($A8,'2_Parameter_Scores'!$B$2:$B$34,0))))),0)</f>
        <v>0.48771428571428554</v>
      </c>
      <c r="I8" s="82">
        <f>IFERROR(IF($C$4="ЕКСПРЕС",INDEX('2_Parameter_Scores'!$K$2:$K$34,MATCH($A8,'2_Parameter_Scores'!$B$2:$B$34,0)),IF($C$4="ПОВНЕ",INDEX('3_коефіцієнти_розширеного_аналі'!$O$2:$O$49,MATCH($A8,'3_коефіцієнти_розширеного_аналі'!$C$2:$C$49,0)),IFERROR(INDEX('3_коефіцієнти_розширеного_аналі'!$O$2:$O$49,MATCH($A8,'3_коефіцієнти_розширеного_аналі'!$C$2:$C$49,0)),INDEX('2_Parameter_Scores'!$K$2:$K$34,MATCH($A8,'2_Parameter_Scores'!$B$2:$B$34,0))))),0)</f>
        <v>0.55285714285714271</v>
      </c>
      <c r="J8" s="82">
        <f>IFERROR(IF($C$4="ЕКСПРЕС",INDEX('2_Parameter_Scores'!$L$2:$L$34,MATCH($A8,'2_Parameter_Scores'!$B$2:$B$34,0)),IF($C$4="ПОВНЕ",INDEX('3_коефіцієнти_розширеного_аналі'!$P$2:$P$49,MATCH($A8,'3_коефіцієнти_розширеного_аналі'!$C$2:$C$49,0)),IFERROR(INDEX('3_коефіцієнти_розширеного_аналі'!$P$2:$P$49,MATCH($A8,'3_коефіцієнти_розширеного_аналі'!$C$2:$C$49,0)),INDEX('2_Parameter_Scores'!$L$2:$L$34,MATCH($A8,'2_Parameter_Scores'!$B$2:$B$34,0))))),0)</f>
        <v>0.77457142857142858</v>
      </c>
      <c r="K8" s="83">
        <f t="shared" si="0"/>
        <v>1</v>
      </c>
      <c r="L8" s="84">
        <f t="shared" si="1"/>
        <v>0.13636363636363635</v>
      </c>
      <c r="M8" s="85" t="s">
        <v>600</v>
      </c>
    </row>
    <row r="9" spans="1:13" ht="30" customHeight="1" x14ac:dyDescent="0.25">
      <c r="A9" s="69" t="s">
        <v>189</v>
      </c>
      <c r="B9" s="70" t="s">
        <v>411</v>
      </c>
      <c r="C9" s="71">
        <v>0.15</v>
      </c>
      <c r="D9" s="72" t="s">
        <v>599</v>
      </c>
      <c r="E9" s="73" t="str">
        <f>IF($C$4="ЕКСПРЕС",IF(ISNUMBER(MATCH($A9,'2_Parameter_Scores'!$B$2:$B$34,0)),"Експрес (лист 2)","— немає"),IF($C$4="ПОВНЕ",IF(ISNUMBER(MATCH($A9,'3_коефіцієнти_розширеного_аналі'!$C$2:$C$49,0)),"Повне (лист 3)","— немає"),IF(ISNUMBER(MATCH($A9,'3_коефіцієнти_розширеного_аналі'!$C$2:$C$49,0)),"Повне (лист 3)",IF(ISNUMBER(MATCH($A9,'2_Parameter_Scores'!$B$2:$B$34,0)),"Експрес (лист 2)","— немає"))))</f>
        <v>Повне (лист 3)</v>
      </c>
      <c r="F9" s="74">
        <f>IFERROR(IF($C$4="ЕКСПРЕС",INDEX('2_Parameter_Scores'!$H$2:$H$34,MATCH($A9,'2_Parameter_Scores'!$B$2:$B$34,0)),IF($C$4="ПОВНЕ",INDEX('3_коефіцієнти_розширеного_аналі'!$L$2:$L$49,MATCH($A9,'3_коефіцієнти_розширеного_аналі'!$C$2:$C$49,0)),IFERROR(INDEX('3_коефіцієнти_розширеного_аналі'!$L$2:$L$49,MATCH($A9,'3_коефіцієнти_розширеного_аналі'!$C$2:$C$49,0)),INDEX('2_Parameter_Scores'!$H$2:$H$34,MATCH($A9,'2_Parameter_Scores'!$B$2:$B$34,0))))),0)</f>
        <v>0.20100000000000015</v>
      </c>
      <c r="G9" s="74">
        <f>IFERROR(IF($C$4="ЕКСПРЕС",INDEX('2_Parameter_Scores'!$I$2:$I$34,MATCH($A9,'2_Parameter_Scores'!$B$2:$B$34,0)),IF($C$4="ПОВНЕ",INDEX('3_коефіцієнти_розширеного_аналі'!$M$2:$M$49,MATCH($A9,'3_коефіцієнти_розширеного_аналі'!$C$2:$C$49,0)),IFERROR(INDEX('3_коефіцієнти_розширеного_аналі'!$M$2:$M$49,MATCH($A9,'3_коефіцієнти_розширеного_аналі'!$C$2:$C$49,0)),INDEX('2_Parameter_Scores'!$I$2:$I$34,MATCH($A9,'2_Parameter_Scores'!$B$2:$B$34,0))))),0)</f>
        <v>0.28749999999999998</v>
      </c>
      <c r="H9" s="74">
        <f>IFERROR(IF($C$4="ЕКСПРЕС",INDEX('2_Parameter_Scores'!$J$2:$J$34,MATCH($A9,'2_Parameter_Scores'!$B$2:$B$34,0)),IF($C$4="ПОВНЕ",INDEX('3_коефіцієнти_розширеного_аналі'!$N$2:$N$49,MATCH($A9,'3_коефіцієнти_розширеного_аналі'!$C$2:$C$49,0)),IFERROR(INDEX('3_коефіцієнти_розширеного_аналі'!$N$2:$N$49,MATCH($A9,'3_коефіцієнти_розширеного_аналі'!$C$2:$C$49,0)),INDEX('2_Parameter_Scores'!$J$2:$J$34,MATCH($A9,'2_Parameter_Scores'!$B$2:$B$34,0))))),0)</f>
        <v>0.40700000000000003</v>
      </c>
      <c r="I9" s="74">
        <f>IFERROR(IF($C$4="ЕКСПРЕС",INDEX('2_Parameter_Scores'!$K$2:$K$34,MATCH($A9,'2_Parameter_Scores'!$B$2:$B$34,0)),IF($C$4="ПОВНЕ",INDEX('3_коефіцієнти_розширеного_аналі'!$O$2:$O$49,MATCH($A9,'3_коефіцієнти_розширеного_аналі'!$C$2:$C$49,0)),IFERROR(INDEX('3_коефіцієнти_розширеного_аналі'!$O$2:$O$49,MATCH($A9,'3_коефіцієнти_розширеного_аналі'!$C$2:$C$49,0)),INDEX('2_Parameter_Scores'!$K$2:$K$34,MATCH($A9,'2_Parameter_Scores'!$B$2:$B$34,0))))),0)</f>
        <v>0.41249999999999998</v>
      </c>
      <c r="J9" s="74">
        <f>IFERROR(IF($C$4="ЕКСПРЕС",INDEX('2_Parameter_Scores'!$L$2:$L$34,MATCH($A9,'2_Parameter_Scores'!$B$2:$B$34,0)),IF($C$4="ПОВНЕ",INDEX('3_коефіцієнти_розширеного_аналі'!$P$2:$P$49,MATCH($A9,'3_коефіцієнти_розширеного_аналі'!$C$2:$C$49,0)),IFERROR(INDEX('3_коефіцієнти_розширеного_аналі'!$P$2:$P$49,MATCH($A9,'3_коефіцієнти_розширеного_аналі'!$C$2:$C$49,0)),INDEX('2_Parameter_Scores'!$L$2:$L$34,MATCH($A9,'2_Parameter_Scores'!$B$2:$B$34,0))))),0)</f>
        <v>0.4504999999999999</v>
      </c>
      <c r="K9" s="75">
        <f t="shared" si="0"/>
        <v>1</v>
      </c>
      <c r="L9" s="76">
        <f t="shared" si="1"/>
        <v>0.13636363636363635</v>
      </c>
      <c r="M9" s="77" t="s">
        <v>600</v>
      </c>
    </row>
    <row r="10" spans="1:13" ht="30" customHeight="1" x14ac:dyDescent="0.25">
      <c r="A10" s="78" t="s">
        <v>412</v>
      </c>
      <c r="B10" s="79" t="s">
        <v>414</v>
      </c>
      <c r="C10" s="71">
        <v>0.1</v>
      </c>
      <c r="D10" s="80" t="s">
        <v>601</v>
      </c>
      <c r="E10" s="81" t="str">
        <f>IF($C$4="ЕКСПРЕС",IF(ISNUMBER(MATCH($A10,'2_Parameter_Scores'!$B$2:$B$34,0)),"Експрес (лист 2)","— немає"),IF($C$4="ПОВНЕ",IF(ISNUMBER(MATCH($A10,'3_коефіцієнти_розширеного_аналі'!$C$2:$C$49,0)),"Повне (лист 3)","— немає"),IF(ISNUMBER(MATCH($A10,'3_коефіцієнти_розширеного_аналі'!$C$2:$C$49,0)),"Повне (лист 3)",IF(ISNUMBER(MATCH($A10,'2_Parameter_Scores'!$B$2:$B$34,0)),"Експрес (лист 2)","— немає"))))</f>
        <v>Повне (лист 3)</v>
      </c>
      <c r="F10" s="82">
        <f>IFERROR(IF($C$4="ЕКСПРЕС",INDEX('2_Parameter_Scores'!$H$2:$H$34,MATCH($A10,'2_Parameter_Scores'!$B$2:$B$34,0)),IF($C$4="ПОВНЕ",INDEX('3_коефіцієнти_розширеного_аналі'!$L$2:$L$49,MATCH($A10,'3_коефіцієнти_розширеного_аналі'!$C$2:$C$49,0)),IFERROR(INDEX('3_коефіцієнти_розширеного_аналі'!$L$2:$L$49,MATCH($A10,'3_коефіцієнти_розширеного_аналі'!$C$2:$C$49,0)),INDEX('2_Parameter_Scores'!$H$2:$H$34,MATCH($A10,'2_Parameter_Scores'!$B$2:$B$34,0))))),0)</f>
        <v>5.4102564102564088E-2</v>
      </c>
      <c r="G10" s="82">
        <f>IFERROR(IF($C$4="ЕКСПРЕС",INDEX('2_Parameter_Scores'!$I$2:$I$34,MATCH($A10,'2_Parameter_Scores'!$B$2:$B$34,0)),IF($C$4="ПОВНЕ",INDEX('3_коефіцієнти_розширеного_аналі'!$M$2:$M$49,MATCH($A10,'3_коефіцієнти_розширеного_аналі'!$C$2:$C$49,0)),IFERROR(INDEX('3_коефіцієнти_розширеного_аналі'!$M$2:$M$49,MATCH($A10,'3_коефіцієнти_розширеного_аналі'!$C$2:$C$49,0)),INDEX('2_Parameter_Scores'!$I$2:$I$34,MATCH($A10,'2_Parameter_Scores'!$B$2:$B$34,0))))),0)</f>
        <v>0.2558974358974358</v>
      </c>
      <c r="H10" s="82">
        <f>IFERROR(IF($C$4="ЕКСПРЕС",INDEX('2_Parameter_Scores'!$J$2:$J$34,MATCH($A10,'2_Parameter_Scores'!$B$2:$B$34,0)),IF($C$4="ПОВНЕ",INDEX('3_коефіцієнти_розширеного_аналі'!$N$2:$N$49,MATCH($A10,'3_коефіцієнти_розширеного_аналі'!$C$2:$C$49,0)),IFERROR(INDEX('3_коефіцієнти_розширеного_аналі'!$N$2:$N$49,MATCH($A10,'3_коефіцієнти_розширеного_аналі'!$C$2:$C$49,0)),INDEX('2_Parameter_Scores'!$J$2:$J$34,MATCH($A10,'2_Parameter_Scores'!$B$2:$B$34,0))))),0)</f>
        <v>0.46589743589743593</v>
      </c>
      <c r="I10" s="82">
        <f>IFERROR(IF($C$4="ЕКСПРЕС",INDEX('2_Parameter_Scores'!$K$2:$K$34,MATCH($A10,'2_Parameter_Scores'!$B$2:$B$34,0)),IF($C$4="ПОВНЕ",INDEX('3_коефіцієнти_розширеного_аналі'!$O$2:$O$49,MATCH($A10,'3_коефіцієнти_розширеного_аналі'!$C$2:$C$49,0)),IFERROR(INDEX('3_коефіцієнти_розширеного_аналі'!$O$2:$O$49,MATCH($A10,'3_коефіцієнти_розширеного_аналі'!$C$2:$C$49,0)),INDEX('2_Parameter_Scores'!$K$2:$K$34,MATCH($A10,'2_Parameter_Scores'!$B$2:$B$34,0))))),0)</f>
        <v>0.50307692307692298</v>
      </c>
      <c r="J10" s="82">
        <f>IFERROR(IF($C$4="ЕКСПРЕС",INDEX('2_Parameter_Scores'!$L$2:$L$34,MATCH($A10,'2_Parameter_Scores'!$B$2:$B$34,0)),IF($C$4="ПОВНЕ",INDEX('3_коефіцієнти_розширеного_аналі'!$P$2:$P$49,MATCH($A10,'3_коефіцієнти_розширеного_аналі'!$C$2:$C$49,0)),IFERROR(INDEX('3_коефіцієнти_розширеного_аналі'!$P$2:$P$49,MATCH($A10,'3_коефіцієнти_розширеного_аналі'!$C$2:$C$49,0)),INDEX('2_Parameter_Scores'!$L$2:$L$34,MATCH($A10,'2_Parameter_Scores'!$B$2:$B$34,0))))),0)</f>
        <v>0.65282051282051279</v>
      </c>
      <c r="K10" s="83">
        <f t="shared" si="0"/>
        <v>1</v>
      </c>
      <c r="L10" s="84">
        <f t="shared" si="1"/>
        <v>9.0909090909090912E-2</v>
      </c>
      <c r="M10" s="85" t="s">
        <v>602</v>
      </c>
    </row>
    <row r="11" spans="1:13" ht="30" customHeight="1" x14ac:dyDescent="0.25">
      <c r="A11" s="69" t="s">
        <v>200</v>
      </c>
      <c r="B11" s="70" t="s">
        <v>603</v>
      </c>
      <c r="C11" s="71">
        <v>0.1</v>
      </c>
      <c r="D11" s="72" t="s">
        <v>599</v>
      </c>
      <c r="E11" s="73" t="str">
        <f>IF($C$4="ЕКСПРЕС",IF(ISNUMBER(MATCH($A11,'2_Parameter_Scores'!$B$2:$B$34,0)),"Експрес (лист 2)","— немає"),IF($C$4="ПОВНЕ",IF(ISNUMBER(MATCH($A11,'3_коефіцієнти_розширеного_аналі'!$C$2:$C$49,0)),"Повне (лист 3)","— немає"),IF(ISNUMBER(MATCH($A11,'3_коефіцієнти_розширеного_аналі'!$C$2:$C$49,0)),"Повне (лист 3)",IF(ISNUMBER(MATCH($A11,'2_Parameter_Scores'!$B$2:$B$34,0)),"Експрес (лист 2)","— немає"))))</f>
        <v>Повне (лист 3)</v>
      </c>
      <c r="F11" s="74">
        <f>IFERROR(IF($C$4="ЕКСПРЕС",INDEX('2_Parameter_Scores'!$H$2:$H$34,MATCH($A11,'2_Parameter_Scores'!$B$2:$B$34,0)),IF($C$4="ПОВНЕ",INDEX('3_коефіцієнти_розширеного_аналі'!$L$2:$L$49,MATCH($A11,'3_коефіцієнти_розширеного_аналі'!$C$2:$C$49,0)),IFERROR(INDEX('3_коефіцієнти_розширеного_аналі'!$L$2:$L$49,MATCH($A11,'3_коефіцієнти_розширеного_аналі'!$C$2:$C$49,0)),INDEX('2_Parameter_Scores'!$H$2:$H$34,MATCH($A11,'2_Parameter_Scores'!$B$2:$B$34,0))))),0)</f>
        <v>2.1999999999999888E-2</v>
      </c>
      <c r="G11" s="74">
        <f>IFERROR(IF($C$4="ЕКСПРЕС",INDEX('2_Parameter_Scores'!$I$2:$I$34,MATCH($A11,'2_Parameter_Scores'!$B$2:$B$34,0)),IF($C$4="ПОВНЕ",INDEX('3_коефіцієнти_розширеного_аналі'!$M$2:$M$49,MATCH($A11,'3_коефіцієнти_розширеного_аналі'!$C$2:$C$49,0)),IFERROR(INDEX('3_коефіцієнти_розширеного_аналі'!$M$2:$M$49,MATCH($A11,'3_коефіцієнти_розширеного_аналі'!$C$2:$C$49,0)),INDEX('2_Parameter_Scores'!$I$2:$I$34,MATCH($A11,'2_Parameter_Scores'!$B$2:$B$34,0))))),0)</f>
        <v>0.32514285714285701</v>
      </c>
      <c r="H11" s="74">
        <f>IFERROR(IF($C$4="ЕКСПРЕС",INDEX('2_Parameter_Scores'!$J$2:$J$34,MATCH($A11,'2_Parameter_Scores'!$B$2:$B$34,0)),IF($C$4="ПОВНЕ",INDEX('3_коефіцієнти_розширеного_аналі'!$N$2:$N$49,MATCH($A11,'3_коефіцієнти_розширеного_аналі'!$C$2:$C$49,0)),IFERROR(INDEX('3_коефіцієнти_розширеного_аналі'!$N$2:$N$49,MATCH($A11,'3_коефіцієнти_розширеного_аналі'!$C$2:$C$49,0)),INDEX('2_Parameter_Scores'!$J$2:$J$34,MATCH($A11,'2_Parameter_Scores'!$B$2:$B$34,0))))),0)</f>
        <v>0.3845714285714284</v>
      </c>
      <c r="I11" s="74">
        <f>IFERROR(IF($C$4="ЕКСПРЕС",INDEX('2_Parameter_Scores'!$K$2:$K$34,MATCH($A11,'2_Parameter_Scores'!$B$2:$B$34,0)),IF($C$4="ПОВНЕ",INDEX('3_коефіцієнти_розширеного_аналі'!$O$2:$O$49,MATCH($A11,'3_коефіцієнти_розширеного_аналі'!$C$2:$C$49,0)),IFERROR(INDEX('3_коефіцієнти_розширеного_аналі'!$O$2:$O$49,MATCH($A11,'3_коефіцієнти_розширеного_аналі'!$C$2:$C$49,0)),INDEX('2_Parameter_Scores'!$K$2:$K$34,MATCH($A11,'2_Parameter_Scores'!$B$2:$B$34,0))))),0)</f>
        <v>0.50800000000000001</v>
      </c>
      <c r="J11" s="74">
        <f>IFERROR(IF($C$4="ЕКСПРЕС",INDEX('2_Parameter_Scores'!$L$2:$L$34,MATCH($A11,'2_Parameter_Scores'!$B$2:$B$34,0)),IF($C$4="ПОВНЕ",INDEX('3_коефіцієнти_розширеного_аналі'!$P$2:$P$49,MATCH($A11,'3_коефіцієнти_розширеного_аналі'!$C$2:$C$49,0)),IFERROR(INDEX('3_коефіцієнти_розширеного_аналі'!$P$2:$P$49,MATCH($A11,'3_коефіцієнти_розширеного_аналі'!$C$2:$C$49,0)),INDEX('2_Parameter_Scores'!$L$2:$L$34,MATCH($A11,'2_Parameter_Scores'!$B$2:$B$34,0))))),0)</f>
        <v>0.69342857142857128</v>
      </c>
      <c r="K11" s="75">
        <f t="shared" si="0"/>
        <v>1</v>
      </c>
      <c r="L11" s="76">
        <f t="shared" si="1"/>
        <v>9.0909090909090912E-2</v>
      </c>
      <c r="M11" s="77" t="s">
        <v>604</v>
      </c>
    </row>
    <row r="12" spans="1:13" ht="30" customHeight="1" x14ac:dyDescent="0.25">
      <c r="A12" s="78" t="s">
        <v>197</v>
      </c>
      <c r="B12" s="79" t="s">
        <v>444</v>
      </c>
      <c r="C12" s="71">
        <v>0.15</v>
      </c>
      <c r="D12" s="80" t="s">
        <v>596</v>
      </c>
      <c r="E12" s="81" t="str">
        <f>IF($C$4="ЕКСПРЕС",IF(ISNUMBER(MATCH($A12,'2_Parameter_Scores'!$B$2:$B$34,0)),"Експрес (лист 2)","— немає"),IF($C$4="ПОВНЕ",IF(ISNUMBER(MATCH($A12,'3_коефіцієнти_розширеного_аналі'!$C$2:$C$49,0)),"Повне (лист 3)","— немає"),IF(ISNUMBER(MATCH($A12,'3_коефіцієнти_розширеного_аналі'!$C$2:$C$49,0)),"Повне (лист 3)",IF(ISNUMBER(MATCH($A12,'2_Parameter_Scores'!$B$2:$B$34,0)),"Експрес (лист 2)","— немає"))))</f>
        <v>Повне (лист 3)</v>
      </c>
      <c r="F12" s="82">
        <f>IFERROR(IF($C$4="ЕКСПРЕС",INDEX('2_Parameter_Scores'!$H$2:$H$34,MATCH($A12,'2_Parameter_Scores'!$B$2:$B$34,0)),IF($C$4="ПОВНЕ",INDEX('3_коефіцієнти_розширеного_аналі'!$L$2:$L$49,MATCH($A12,'3_коефіцієнти_розширеного_аналі'!$C$2:$C$49,0)),IFERROR(INDEX('3_коефіцієнти_розширеного_аналі'!$L$2:$L$49,MATCH($A12,'3_коефіцієнти_розширеного_аналі'!$C$2:$C$49,0)),INDEX('2_Parameter_Scores'!$H$2:$H$34,MATCH($A12,'2_Parameter_Scores'!$B$2:$B$34,0))))),0)</f>
        <v>0.14305555555555552</v>
      </c>
      <c r="G12" s="82">
        <f>IFERROR(IF($C$4="ЕКСПРЕС",INDEX('2_Parameter_Scores'!$I$2:$I$34,MATCH($A12,'2_Parameter_Scores'!$B$2:$B$34,0)),IF($C$4="ПОВНЕ",INDEX('3_коефіцієнти_розширеного_аналі'!$M$2:$M$49,MATCH($A12,'3_коефіцієнти_розширеного_аналі'!$C$2:$C$49,0)),IFERROR(INDEX('3_коефіцієнти_розширеного_аналі'!$M$2:$M$49,MATCH($A12,'3_коефіцієнти_розширеного_аналі'!$C$2:$C$49,0)),INDEX('2_Parameter_Scores'!$I$2:$I$34,MATCH($A12,'2_Parameter_Scores'!$B$2:$B$34,0))))),0)</f>
        <v>0.25138888888888883</v>
      </c>
      <c r="H12" s="82">
        <f>IFERROR(IF($C$4="ЕКСПРЕС",INDEX('2_Parameter_Scores'!$J$2:$J$34,MATCH($A12,'2_Parameter_Scores'!$B$2:$B$34,0)),IF($C$4="ПОВНЕ",INDEX('3_коефіцієнти_розширеного_аналі'!$N$2:$N$49,MATCH($A12,'3_коефіцієнти_розширеного_аналі'!$C$2:$C$49,0)),IFERROR(INDEX('3_коефіцієнти_розширеного_аналі'!$N$2:$N$49,MATCH($A12,'3_коефіцієнти_розширеного_аналі'!$C$2:$C$49,0)),INDEX('2_Parameter_Scores'!$J$2:$J$34,MATCH($A12,'2_Parameter_Scores'!$B$2:$B$34,0))))),0)</f>
        <v>0.51416666666666666</v>
      </c>
      <c r="I12" s="82">
        <f>IFERROR(IF($C$4="ЕКСПРЕС",INDEX('2_Parameter_Scores'!$K$2:$K$34,MATCH($A12,'2_Parameter_Scores'!$B$2:$B$34,0)),IF($C$4="ПОВНЕ",INDEX('3_коефіцієнти_розширеного_аналі'!$O$2:$O$49,MATCH($A12,'3_коефіцієнти_розширеного_аналі'!$C$2:$C$49,0)),IFERROR(INDEX('3_коефіцієнти_розширеного_аналі'!$O$2:$O$49,MATCH($A12,'3_коефіцієнти_розширеного_аналі'!$C$2:$C$49,0)),INDEX('2_Parameter_Scores'!$K$2:$K$34,MATCH($A12,'2_Parameter_Scores'!$B$2:$B$34,0))))),0)</f>
        <v>0.50277777777777777</v>
      </c>
      <c r="J12" s="82">
        <f>IFERROR(IF($C$4="ЕКСПРЕС",INDEX('2_Parameter_Scores'!$L$2:$L$34,MATCH($A12,'2_Parameter_Scores'!$B$2:$B$34,0)),IF($C$4="ПОВНЕ",INDEX('3_коефіцієнти_розширеного_аналі'!$P$2:$P$49,MATCH($A12,'3_коефіцієнти_розширеного_аналі'!$C$2:$C$49,0)),IFERROR(INDEX('3_коефіцієнти_розширеного_аналі'!$P$2:$P$49,MATCH($A12,'3_коефіцієнти_розширеного_аналі'!$C$2:$C$49,0)),INDEX('2_Parameter_Scores'!$L$2:$L$34,MATCH($A12,'2_Parameter_Scores'!$B$2:$B$34,0))))),0)</f>
        <v>0.74861111111111112</v>
      </c>
      <c r="K12" s="83">
        <f t="shared" si="0"/>
        <v>1</v>
      </c>
      <c r="L12" s="84">
        <f t="shared" si="1"/>
        <v>0.13636363636363635</v>
      </c>
      <c r="M12" s="85" t="s">
        <v>605</v>
      </c>
    </row>
    <row r="13" spans="1:13" ht="30" customHeight="1" x14ac:dyDescent="0.25">
      <c r="A13" s="69" t="s">
        <v>433</v>
      </c>
      <c r="B13" s="70" t="s">
        <v>435</v>
      </c>
      <c r="C13" s="71">
        <v>0.15</v>
      </c>
      <c r="D13" s="72" t="s">
        <v>599</v>
      </c>
      <c r="E13" s="73" t="str">
        <f>IF($C$4="ЕКСПРЕС",IF(ISNUMBER(MATCH($A13,'2_Parameter_Scores'!$B$2:$B$34,0)),"Експрес (лист 2)","— немає"),IF($C$4="ПОВНЕ",IF(ISNUMBER(MATCH($A13,'3_коефіцієнти_розширеного_аналі'!$C$2:$C$49,0)),"Повне (лист 3)","— немає"),IF(ISNUMBER(MATCH($A13,'3_коефіцієнти_розширеного_аналі'!$C$2:$C$49,0)),"Повне (лист 3)",IF(ISNUMBER(MATCH($A13,'2_Parameter_Scores'!$B$2:$B$34,0)),"Експрес (лист 2)","— немає"))))</f>
        <v>Повне (лист 3)</v>
      </c>
      <c r="F13" s="74">
        <f>IFERROR(IF($C$4="ЕКСПРЕС",INDEX('2_Parameter_Scores'!$H$2:$H$34,MATCH($A13,'2_Parameter_Scores'!$B$2:$B$34,0)),IF($C$4="ПОВНЕ",INDEX('3_коефіцієнти_розширеного_аналі'!$L$2:$L$49,MATCH($A13,'3_коефіцієнти_розширеного_аналі'!$C$2:$C$49,0)),IFERROR(INDEX('3_коефіцієнти_розширеного_аналі'!$L$2:$L$49,MATCH($A13,'3_коефіцієнти_розширеного_аналі'!$C$2:$C$49,0)),INDEX('2_Parameter_Scores'!$H$2:$H$34,MATCH($A13,'2_Parameter_Scores'!$B$2:$B$34,0))))),0)</f>
        <v>0.18166666666666684</v>
      </c>
      <c r="G13" s="74">
        <f>IFERROR(IF($C$4="ЕКСПРЕС",INDEX('2_Parameter_Scores'!$I$2:$I$34,MATCH($A13,'2_Parameter_Scores'!$B$2:$B$34,0)),IF($C$4="ПОВНЕ",INDEX('3_коефіцієнти_розширеного_аналі'!$M$2:$M$49,MATCH($A13,'3_коефіцієнти_розширеного_аналі'!$C$2:$C$49,0)),IFERROR(INDEX('3_коефіцієнти_розширеного_аналі'!$M$2:$M$49,MATCH($A13,'3_коефіцієнти_розширеного_аналі'!$C$2:$C$49,0)),INDEX('2_Parameter_Scores'!$I$2:$I$34,MATCH($A13,'2_Parameter_Scores'!$B$2:$B$34,0))))),0)</f>
        <v>0.21611111111111114</v>
      </c>
      <c r="H13" s="74">
        <f>IFERROR(IF($C$4="ЕКСПРЕС",INDEX('2_Parameter_Scores'!$J$2:$J$34,MATCH($A13,'2_Parameter_Scores'!$B$2:$B$34,0)),IF($C$4="ПОВНЕ",INDEX('3_коефіцієнти_розширеного_аналі'!$N$2:$N$49,MATCH($A13,'3_коефіцієнти_розширеного_аналі'!$C$2:$C$49,0)),IFERROR(INDEX('3_коефіцієнти_розширеного_аналі'!$N$2:$N$49,MATCH($A13,'3_коефіцієнти_розширеного_аналі'!$C$2:$C$49,0)),INDEX('2_Parameter_Scores'!$J$2:$J$34,MATCH($A13,'2_Parameter_Scores'!$B$2:$B$34,0))))),0)</f>
        <v>0.35972222222222228</v>
      </c>
      <c r="I13" s="74">
        <f>IFERROR(IF($C$4="ЕКСПРЕС",INDEX('2_Parameter_Scores'!$K$2:$K$34,MATCH($A13,'2_Parameter_Scores'!$B$2:$B$34,0)),IF($C$4="ПОВНЕ",INDEX('3_коефіцієнти_розширеного_аналі'!$O$2:$O$49,MATCH($A13,'3_коефіцієнти_розширеного_аналі'!$C$2:$C$49,0)),IFERROR(INDEX('3_коефіцієнти_розширеного_аналі'!$O$2:$O$49,MATCH($A13,'3_коефіцієнти_розширеного_аналі'!$C$2:$C$49,0)),INDEX('2_Parameter_Scores'!$K$2:$K$34,MATCH($A13,'2_Parameter_Scores'!$B$2:$B$34,0))))),0)</f>
        <v>0.63916666666666677</v>
      </c>
      <c r="J13" s="74">
        <f>IFERROR(IF($C$4="ЕКСПРЕС",INDEX('2_Parameter_Scores'!$L$2:$L$34,MATCH($A13,'2_Parameter_Scores'!$B$2:$B$34,0)),IF($C$4="ПОВНЕ",INDEX('3_коефіцієнти_розширеного_аналі'!$P$2:$P$49,MATCH($A13,'3_коефіцієнти_розширеного_аналі'!$C$2:$C$49,0)),IFERROR(INDEX('3_коефіцієнти_розширеного_аналі'!$P$2:$P$49,MATCH($A13,'3_коефіцієнти_розширеного_аналі'!$C$2:$C$49,0)),INDEX('2_Parameter_Scores'!$L$2:$L$34,MATCH($A13,'2_Parameter_Scores'!$B$2:$B$34,0))))),0)</f>
        <v>0.76166666666666671</v>
      </c>
      <c r="K13" s="75">
        <f t="shared" si="0"/>
        <v>1</v>
      </c>
      <c r="L13" s="76">
        <f t="shared" si="1"/>
        <v>0.13636363636363635</v>
      </c>
      <c r="M13" s="77" t="s">
        <v>606</v>
      </c>
    </row>
    <row r="14" spans="1:13" ht="30" customHeight="1" x14ac:dyDescent="0.25">
      <c r="A14" s="78" t="s">
        <v>195</v>
      </c>
      <c r="B14" s="79" t="s">
        <v>607</v>
      </c>
      <c r="C14" s="71">
        <v>0.1</v>
      </c>
      <c r="D14" s="80" t="s">
        <v>599</v>
      </c>
      <c r="E14" s="81" t="str">
        <f>IF($C$4="ЕКСПРЕС",IF(ISNUMBER(MATCH($A14,'2_Parameter_Scores'!$B$2:$B$34,0)),"Експрес (лист 2)","— немає"),IF($C$4="ПОВНЕ",IF(ISNUMBER(MATCH($A14,'3_коефіцієнти_розширеного_аналі'!$C$2:$C$49,0)),"Повне (лист 3)","— немає"),IF(ISNUMBER(MATCH($A14,'3_коефіцієнти_розширеного_аналі'!$C$2:$C$49,0)),"Повне (лист 3)",IF(ISNUMBER(MATCH($A14,'2_Parameter_Scores'!$B$2:$B$34,0)),"Експрес (лист 2)","— немає"))))</f>
        <v>Повне (лист 3)</v>
      </c>
      <c r="F14" s="82">
        <f>IFERROR(IF($C$4="ЕКСПРЕС",INDEX('2_Parameter_Scores'!$H$2:$H$34,MATCH($A14,'2_Parameter_Scores'!$B$2:$B$34,0)),IF($C$4="ПОВНЕ",INDEX('3_коефіцієнти_розширеного_аналі'!$L$2:$L$49,MATCH($A14,'3_коефіцієнти_розширеного_аналі'!$C$2:$C$49,0)),IFERROR(INDEX('3_коефіцієнти_розширеного_аналі'!$L$2:$L$49,MATCH($A14,'3_коефіцієнти_розширеного_аналі'!$C$2:$C$49,0)),INDEX('2_Parameter_Scores'!$H$2:$H$34,MATCH($A14,'2_Parameter_Scores'!$B$2:$B$34,0))))),0)</f>
        <v>0.18374999999999986</v>
      </c>
      <c r="G14" s="82">
        <f>IFERROR(IF($C$4="ЕКСПРЕС",INDEX('2_Parameter_Scores'!$I$2:$I$34,MATCH($A14,'2_Parameter_Scores'!$B$2:$B$34,0)),IF($C$4="ПОВНЕ",INDEX('3_коефіцієнти_розширеного_аналі'!$M$2:$M$49,MATCH($A14,'3_коефіцієнти_розширеного_аналі'!$C$2:$C$49,0)),IFERROR(INDEX('3_коефіцієнти_розширеного_аналі'!$M$2:$M$49,MATCH($A14,'3_коефіцієнти_розширеного_аналі'!$C$2:$C$49,0)),INDEX('2_Parameter_Scores'!$I$2:$I$34,MATCH($A14,'2_Parameter_Scores'!$B$2:$B$34,0))))),0)</f>
        <v>0.18000000000000016</v>
      </c>
      <c r="H14" s="82">
        <f>IFERROR(IF($C$4="ЕКСПРЕС",INDEX('2_Parameter_Scores'!$J$2:$J$34,MATCH($A14,'2_Parameter_Scores'!$B$2:$B$34,0)),IF($C$4="ПОВНЕ",INDEX('3_коефіцієнти_розширеного_аналі'!$N$2:$N$49,MATCH($A14,'3_коефіцієнти_розширеного_аналі'!$C$2:$C$49,0)),IFERROR(INDEX('3_коефіцієнти_розширеного_аналі'!$N$2:$N$49,MATCH($A14,'3_коефіцієнти_розширеного_аналі'!$C$2:$C$49,0)),INDEX('2_Parameter_Scores'!$J$2:$J$34,MATCH($A14,'2_Parameter_Scores'!$B$2:$B$34,0))))),0)</f>
        <v>0.38906250000000009</v>
      </c>
      <c r="I14" s="82">
        <f>IFERROR(IF($C$4="ЕКСПРЕС",INDEX('2_Parameter_Scores'!$K$2:$K$34,MATCH($A14,'2_Parameter_Scores'!$B$2:$B$34,0)),IF($C$4="ПОВНЕ",INDEX('3_коефіцієнти_розширеного_аналі'!$O$2:$O$49,MATCH($A14,'3_коефіцієнти_розширеного_аналі'!$C$2:$C$49,0)),IFERROR(INDEX('3_коефіцієнти_розширеного_аналі'!$O$2:$O$49,MATCH($A14,'3_коефіцієнти_розширеного_аналі'!$C$2:$C$49,0)),INDEX('2_Parameter_Scores'!$K$2:$K$34,MATCH($A14,'2_Parameter_Scores'!$B$2:$B$34,0))))),0)</f>
        <v>0.72562499999999996</v>
      </c>
      <c r="J14" s="82">
        <f>IFERROR(IF($C$4="ЕКСПРЕС",INDEX('2_Parameter_Scores'!$L$2:$L$34,MATCH($A14,'2_Parameter_Scores'!$B$2:$B$34,0)),IF($C$4="ПОВНЕ",INDEX('3_коефіцієнти_розширеного_аналі'!$P$2:$P$49,MATCH($A14,'3_коефіцієнти_розширеного_аналі'!$C$2:$C$49,0)),IFERROR(INDEX('3_коефіцієнти_розширеного_аналі'!$P$2:$P$49,MATCH($A14,'3_коефіцієнти_розширеного_аналі'!$C$2:$C$49,0)),INDEX('2_Parameter_Scores'!$L$2:$L$34,MATCH($A14,'2_Parameter_Scores'!$B$2:$B$34,0))))),0)</f>
        <v>0.76343750000000021</v>
      </c>
      <c r="K14" s="83">
        <f t="shared" si="0"/>
        <v>1</v>
      </c>
      <c r="L14" s="84">
        <f t="shared" si="1"/>
        <v>9.0909090909090912E-2</v>
      </c>
      <c r="M14" s="85" t="s">
        <v>608</v>
      </c>
    </row>
    <row r="15" spans="1:13" ht="18.75" customHeight="1" x14ac:dyDescent="0.25">
      <c r="A15" s="356" t="s">
        <v>609</v>
      </c>
      <c r="B15" s="356"/>
      <c r="C15" s="87">
        <f>SUM($C$7:$C$14)</f>
        <v>1.1000000000000001</v>
      </c>
      <c r="D15" s="88" t="s">
        <v>610</v>
      </c>
      <c r="E15" s="89" t="str">
        <f>COUNTIF($K$7:$K$14,1)&amp;" з "&amp;8&amp;" маркерів доступно"</f>
        <v>8 з 8 маркерів доступно</v>
      </c>
      <c r="K15" s="90">
        <f>SUM($K$7:$K$14)</f>
        <v>8</v>
      </c>
      <c r="L15" s="91">
        <f>SUM($L$7:$L$14)</f>
        <v>1</v>
      </c>
      <c r="M15" s="92" t="s">
        <v>611</v>
      </c>
    </row>
    <row r="17" spans="1:13" ht="15" customHeight="1" x14ac:dyDescent="0.25">
      <c r="A17" s="357" t="s">
        <v>612</v>
      </c>
      <c r="B17" s="357"/>
      <c r="C17" s="357"/>
      <c r="D17" s="357"/>
      <c r="E17" s="357"/>
      <c r="F17" s="357"/>
      <c r="G17" s="357"/>
      <c r="H17" s="357"/>
      <c r="I17" s="357"/>
      <c r="J17" s="357"/>
      <c r="K17" s="357"/>
      <c r="L17" s="357"/>
      <c r="M17" s="357"/>
    </row>
    <row r="18" spans="1:13" ht="25.5" customHeight="1" x14ac:dyDescent="0.25">
      <c r="A18" s="16" t="s">
        <v>613</v>
      </c>
      <c r="B18" s="16" t="s">
        <v>614</v>
      </c>
      <c r="C18" s="16" t="s">
        <v>615</v>
      </c>
      <c r="D18" s="16" t="s">
        <v>616</v>
      </c>
      <c r="E18" s="16" t="s">
        <v>617</v>
      </c>
    </row>
    <row r="19" spans="1:13" ht="19.5" customHeight="1" x14ac:dyDescent="0.25">
      <c r="A19" s="69" t="s">
        <v>618</v>
      </c>
      <c r="B19" s="70" t="s">
        <v>619</v>
      </c>
      <c r="C19" s="93">
        <f>SUMPRODUCT($L$7:$L$14,F$7:F$14)</f>
        <v>0.12727572427572426</v>
      </c>
      <c r="D19" s="72" t="str">
        <f>IF($C19="","",IF($C19&lt;0.25,"Мінімальна",IF($C19&lt;0.45,"Часткова",IF($C19&lt;0.65,"Помірна",IF($C19&lt;0.8,"Виражена","Максимальна")))))</f>
        <v>Мінімальна</v>
      </c>
      <c r="E19" s="94">
        <f>SUMPRODUCT($C$7:$C$14,$K$7:$K$14)/SUM($C$7:$C$14)</f>
        <v>1</v>
      </c>
    </row>
    <row r="20" spans="1:13" ht="19.5" customHeight="1" x14ac:dyDescent="0.25">
      <c r="A20" s="69" t="s">
        <v>620</v>
      </c>
      <c r="B20" s="70" t="s">
        <v>621</v>
      </c>
      <c r="C20" s="93">
        <f>SUMPRODUCT($L$7:$L$14,G$7:G$14)</f>
        <v>0.24266650016650021</v>
      </c>
      <c r="D20" s="72" t="str">
        <f>IF($C20="","",IF($C20&lt;0.25,"Мінімальна",IF($C20&lt;0.45,"Часткова",IF($C20&lt;0.65,"Помірна",IF($C20&lt;0.8,"Виражена","Максимальна")))))</f>
        <v>Мінімальна</v>
      </c>
      <c r="E20" s="94">
        <f>SUMPRODUCT($C$7:$C$14,$K$7:$K$14)/SUM($C$7:$C$14)</f>
        <v>1</v>
      </c>
    </row>
    <row r="21" spans="1:13" ht="19.5" customHeight="1" x14ac:dyDescent="0.25">
      <c r="A21" s="69" t="s">
        <v>622</v>
      </c>
      <c r="B21" s="70" t="s">
        <v>623</v>
      </c>
      <c r="C21" s="93">
        <f>SUMPRODUCT($L$7:$L$14,H$7:H$14)</f>
        <v>0.40956878538128544</v>
      </c>
      <c r="D21" s="72" t="str">
        <f>IF($C21="","",IF($C21&lt;0.25,"Мінімальна",IF($C21&lt;0.45,"Часткова",IF($C21&lt;0.65,"Помірна",IF($C21&lt;0.8,"Виражена","Максимальна")))))</f>
        <v>Часткова</v>
      </c>
      <c r="E21" s="94">
        <f>SUMPRODUCT($C$7:$C$14,$K$7:$K$14)/SUM($C$7:$C$14)</f>
        <v>1</v>
      </c>
    </row>
    <row r="22" spans="1:13" ht="19.5" customHeight="1" x14ac:dyDescent="0.25">
      <c r="A22" s="69" t="s">
        <v>624</v>
      </c>
      <c r="B22" s="70" t="s">
        <v>625</v>
      </c>
      <c r="C22" s="93">
        <f>SUMPRODUCT($L$7:$L$14,I$7:I$14)</f>
        <v>0.52211775724275722</v>
      </c>
      <c r="D22" s="72" t="str">
        <f>IF($C22="","",IF($C22&lt;0.25,"Мінімальна",IF($C22&lt;0.45,"Часткова",IF($C22&lt;0.65,"Помірна",IF($C22&lt;0.8,"Виражена","Максимальна")))))</f>
        <v>Помірна</v>
      </c>
      <c r="E22" s="94">
        <f>SUMPRODUCT($C$7:$C$14,$K$7:$K$14)/SUM($C$7:$C$14)</f>
        <v>1</v>
      </c>
    </row>
    <row r="23" spans="1:13" ht="19.5" customHeight="1" x14ac:dyDescent="0.25">
      <c r="A23" s="69" t="s">
        <v>626</v>
      </c>
      <c r="B23" s="70" t="s">
        <v>627</v>
      </c>
      <c r="C23" s="93">
        <f>SUMPRODUCT($L$7:$L$14,J$7:J$14)</f>
        <v>0.66959371878121876</v>
      </c>
      <c r="D23" s="72" t="str">
        <f>IF($C23="","",IF($C23&lt;0.25,"Мінімальна",IF($C23&lt;0.45,"Часткова",IF($C23&lt;0.65,"Помірна",IF($C23&lt;0.8,"Виражена","Максимальна")))))</f>
        <v>Виражена</v>
      </c>
      <c r="E23" s="94">
        <f>SUMPRODUCT($C$7:$C$14,$K$7:$K$14)/SUM($C$7:$C$14)</f>
        <v>1</v>
      </c>
    </row>
    <row r="24" spans="1:13" ht="30" customHeight="1" x14ac:dyDescent="0.25">
      <c r="A24" s="95" t="s">
        <v>628</v>
      </c>
      <c r="B24" s="22" t="s">
        <v>629</v>
      </c>
      <c r="C24" s="96">
        <f>0.1*$C$19+0.15*$C$20+0.25*$C$21+0.25*$C$22+0.25*$C$23</f>
        <v>0.44944761280386281</v>
      </c>
      <c r="D24" s="23" t="str">
        <f>IF($C24&lt;0.25,"Мінімальна",IF($C24&lt;0.45,"Часткова",IF($C24&lt;0.65,"Помірна",IF($C24&lt;0.8,"Виражена","Максимальна"))))</f>
        <v>Часткова</v>
      </c>
      <c r="E24" s="97">
        <f>$E$19</f>
        <v>1</v>
      </c>
    </row>
    <row r="25" spans="1:13" ht="19.5" customHeight="1" x14ac:dyDescent="0.25">
      <c r="A25" s="69" t="s">
        <v>630</v>
      </c>
      <c r="B25" s="70" t="s">
        <v>631</v>
      </c>
      <c r="C25" s="93">
        <f>IFERROR($C$23/AVERAGE($C$21:$C$22),"")</f>
        <v>1.4373798228218384</v>
      </c>
      <c r="D25" s="72" t="str">
        <f>IF($C25="","",IF($C25&gt;1.05,"Ефект наростає",IF($C25&gt;=0.95,"Ефект стабільний","Ефект згасає — переглянути протокол")))</f>
        <v>Ефект наростає</v>
      </c>
    </row>
    <row r="27" spans="1:13" ht="15" customHeight="1" x14ac:dyDescent="0.25">
      <c r="A27" s="358" t="s">
        <v>632</v>
      </c>
      <c r="B27" s="358"/>
      <c r="C27" s="358"/>
      <c r="D27" s="358"/>
      <c r="E27" s="358"/>
      <c r="F27" s="358"/>
      <c r="G27" s="358"/>
      <c r="H27" s="358"/>
      <c r="I27" s="358"/>
      <c r="J27" s="358"/>
      <c r="K27" s="358"/>
      <c r="L27" s="358"/>
      <c r="M27" s="358"/>
    </row>
    <row r="28" spans="1:13" ht="27.75" customHeight="1" x14ac:dyDescent="0.25">
      <c r="A28" s="98" t="s">
        <v>6</v>
      </c>
      <c r="B28" s="359" t="str">
        <f>IF($E$19&gt;=0.8,"ДОСТОВІРНО — покрито "&amp;TEXT($E$19,"0%")&amp;" вагового обсягу маркерів",IF($E$19&gt;=0.6,"ОБМЕЖЕНО ДОСТОВІРНО — покрито "&amp;TEXT($E$19,"0%")&amp;"; трактувати з обережністю","НЕДОСТАТНЬО ДАНИХ — покрито лише "&amp;TEXT($E$19,"0%")&amp;"; MI не може бути самостійною підставою для рішення"))</f>
        <v>ДОСТОВІРНО — покрито 100% вагового обсягу маркерів</v>
      </c>
      <c r="C28" s="359"/>
      <c r="D28" s="359"/>
      <c r="E28" s="359"/>
      <c r="F28" s="359"/>
      <c r="G28" s="359"/>
      <c r="H28" s="359"/>
      <c r="I28" s="359"/>
      <c r="J28" s="359"/>
      <c r="K28" s="359"/>
      <c r="L28" s="359"/>
      <c r="M28" s="359"/>
    </row>
    <row r="30" spans="1:13" ht="15" customHeight="1" x14ac:dyDescent="0.25">
      <c r="A30" s="357" t="s">
        <v>633</v>
      </c>
      <c r="B30" s="357"/>
      <c r="C30" s="357"/>
      <c r="D30" s="357"/>
      <c r="E30" s="357"/>
      <c r="F30" s="357"/>
      <c r="G30" s="357"/>
      <c r="H30" s="357"/>
      <c r="I30" s="357"/>
      <c r="J30" s="357"/>
      <c r="K30" s="357"/>
      <c r="L30" s="357"/>
      <c r="M30" s="357"/>
    </row>
    <row r="31" spans="1:13" ht="43.5" customHeight="1" x14ac:dyDescent="0.25">
      <c r="A31" s="360" t="s">
        <v>634</v>
      </c>
      <c r="B31" s="360"/>
      <c r="C31" s="361" t="s">
        <v>635</v>
      </c>
      <c r="D31" s="361"/>
      <c r="E31" s="361"/>
      <c r="F31" s="361"/>
      <c r="G31" s="361"/>
      <c r="H31" s="361"/>
      <c r="I31" s="361"/>
      <c r="J31" s="361"/>
      <c r="K31" s="361"/>
      <c r="L31" s="361"/>
      <c r="M31" s="361"/>
    </row>
    <row r="32" spans="1:13" ht="43.5" customHeight="1" x14ac:dyDescent="0.25">
      <c r="A32" s="360" t="s">
        <v>636</v>
      </c>
      <c r="B32" s="360"/>
      <c r="C32" s="361" t="s">
        <v>637</v>
      </c>
      <c r="D32" s="361"/>
      <c r="E32" s="361"/>
      <c r="F32" s="361"/>
      <c r="G32" s="361"/>
      <c r="H32" s="361"/>
      <c r="I32" s="361"/>
      <c r="J32" s="361"/>
      <c r="K32" s="361"/>
      <c r="L32" s="361"/>
      <c r="M32" s="361"/>
    </row>
    <row r="33" spans="1:13" ht="43.5" customHeight="1" x14ac:dyDescent="0.25">
      <c r="A33" s="360" t="s">
        <v>638</v>
      </c>
      <c r="B33" s="360"/>
      <c r="C33" s="361" t="s">
        <v>639</v>
      </c>
      <c r="D33" s="361"/>
      <c r="E33" s="361"/>
      <c r="F33" s="361"/>
      <c r="G33" s="361"/>
      <c r="H33" s="361"/>
      <c r="I33" s="361"/>
      <c r="J33" s="361"/>
      <c r="K33" s="361"/>
      <c r="L33" s="361"/>
      <c r="M33" s="361"/>
    </row>
    <row r="34" spans="1:13" ht="43.5" customHeight="1" x14ac:dyDescent="0.25">
      <c r="A34" s="360" t="s">
        <v>640</v>
      </c>
      <c r="B34" s="360"/>
      <c r="C34" s="361" t="s">
        <v>641</v>
      </c>
      <c r="D34" s="361"/>
      <c r="E34" s="361"/>
      <c r="F34" s="361"/>
      <c r="G34" s="361"/>
      <c r="H34" s="361"/>
      <c r="I34" s="361"/>
      <c r="J34" s="361"/>
      <c r="K34" s="361"/>
      <c r="L34" s="361"/>
      <c r="M34" s="361"/>
    </row>
    <row r="35" spans="1:13" ht="43.5" customHeight="1" x14ac:dyDescent="0.25">
      <c r="A35" s="360" t="s">
        <v>642</v>
      </c>
      <c r="B35" s="360"/>
      <c r="C35" s="361" t="s">
        <v>643</v>
      </c>
      <c r="D35" s="361"/>
      <c r="E35" s="361"/>
      <c r="F35" s="361"/>
      <c r="G35" s="361"/>
      <c r="H35" s="361"/>
      <c r="I35" s="361"/>
      <c r="J35" s="361"/>
      <c r="K35" s="361"/>
      <c r="L35" s="361"/>
      <c r="M35" s="361"/>
    </row>
    <row r="36" spans="1:13" ht="43.5" customHeight="1" x14ac:dyDescent="0.25">
      <c r="A36" s="360" t="s">
        <v>644</v>
      </c>
      <c r="B36" s="360"/>
      <c r="C36" s="361" t="s">
        <v>645</v>
      </c>
      <c r="D36" s="361"/>
      <c r="E36" s="361"/>
      <c r="F36" s="361"/>
      <c r="G36" s="361"/>
      <c r="H36" s="361"/>
      <c r="I36" s="361"/>
      <c r="J36" s="361"/>
      <c r="K36" s="361"/>
      <c r="L36" s="361"/>
      <c r="M36" s="361"/>
    </row>
    <row r="37" spans="1:13" ht="43.5" customHeight="1" x14ac:dyDescent="0.25">
      <c r="A37" s="360" t="s">
        <v>646</v>
      </c>
      <c r="B37" s="360"/>
      <c r="C37" s="361" t="s">
        <v>647</v>
      </c>
      <c r="D37" s="361"/>
      <c r="E37" s="361"/>
      <c r="F37" s="361"/>
      <c r="G37" s="361"/>
      <c r="H37" s="361"/>
      <c r="I37" s="361"/>
      <c r="J37" s="361"/>
      <c r="K37" s="361"/>
      <c r="L37" s="361"/>
      <c r="M37" s="361"/>
    </row>
  </sheetData>
  <sheetProtection password="EBB1" sheet="1" formatColumns="0" formatRows="0" sort="0" autoFilter="0"/>
  <mergeCells count="23">
    <mergeCell ref="A35:B35"/>
    <mergeCell ref="C35:M35"/>
    <mergeCell ref="A36:B36"/>
    <mergeCell ref="C36:M36"/>
    <mergeCell ref="A37:B37"/>
    <mergeCell ref="C37:M37"/>
    <mergeCell ref="A32:B32"/>
    <mergeCell ref="C32:M32"/>
    <mergeCell ref="A33:B33"/>
    <mergeCell ref="C33:M33"/>
    <mergeCell ref="A34:B34"/>
    <mergeCell ref="C34:M34"/>
    <mergeCell ref="A17:M17"/>
    <mergeCell ref="A27:M27"/>
    <mergeCell ref="B28:M28"/>
    <mergeCell ref="A30:M30"/>
    <mergeCell ref="A31:B31"/>
    <mergeCell ref="C31:M31"/>
    <mergeCell ref="A1:M1"/>
    <mergeCell ref="A2:M2"/>
    <mergeCell ref="A4:B4"/>
    <mergeCell ref="D4:M4"/>
    <mergeCell ref="A15:B15"/>
  </mergeCells>
  <dataValidations count="1">
    <dataValidation type="list" sqref="C4">
      <formula1>"АВТО,ПОВНЕ,ЕКСПРЕС"</formula1>
      <formula2>0</formula2>
    </dataValidation>
  </dataValidation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O147"/>
  <sheetViews>
    <sheetView topLeftCell="A91" zoomScaleNormal="100" workbookViewId="0">
      <selection activeCell="H120" sqref="H120"/>
    </sheetView>
  </sheetViews>
  <sheetFormatPr defaultColWidth="8.7109375" defaultRowHeight="15" x14ac:dyDescent="0.25"/>
  <cols>
    <col min="1" max="1" width="10" style="15" customWidth="1"/>
    <col min="2" max="3" width="32" style="15" customWidth="1"/>
    <col min="4" max="4" width="10" style="15" customWidth="1"/>
    <col min="5" max="5" width="9" style="15" customWidth="1"/>
    <col min="6" max="6" width="14" style="15" customWidth="1"/>
    <col min="7" max="7" width="40" style="15" customWidth="1"/>
    <col min="8" max="8" width="30" style="15" customWidth="1"/>
    <col min="9" max="9" width="9" style="15" customWidth="1"/>
    <col min="10" max="10" width="8" style="15" customWidth="1"/>
    <col min="11" max="11" width="11" style="15" customWidth="1"/>
  </cols>
  <sheetData>
    <row r="3" spans="2:15" ht="30" customHeight="1" x14ac:dyDescent="0.25">
      <c r="B3" s="101" t="s">
        <v>648</v>
      </c>
      <c r="C3" s="101" t="s">
        <v>269</v>
      </c>
      <c r="D3" s="101" t="s">
        <v>272</v>
      </c>
      <c r="E3" s="101" t="s">
        <v>278</v>
      </c>
      <c r="F3" s="101" t="s">
        <v>281</v>
      </c>
      <c r="G3" s="101" t="s">
        <v>649</v>
      </c>
      <c r="H3" s="101" t="s">
        <v>650</v>
      </c>
      <c r="I3" s="101" t="s">
        <v>651</v>
      </c>
      <c r="J3" s="101" t="s">
        <v>652</v>
      </c>
      <c r="K3" s="101" t="s">
        <v>653</v>
      </c>
      <c r="L3" s="101" t="s">
        <v>654</v>
      </c>
      <c r="M3" s="101" t="s">
        <v>149</v>
      </c>
      <c r="N3" s="101" t="s">
        <v>150</v>
      </c>
      <c r="O3" s="101" t="s">
        <v>288</v>
      </c>
    </row>
    <row r="4" spans="2:15" ht="135" customHeight="1" x14ac:dyDescent="0.25">
      <c r="B4" s="102" t="s">
        <v>454</v>
      </c>
      <c r="C4" s="103" t="s">
        <v>655</v>
      </c>
      <c r="D4" s="103" t="s">
        <v>656</v>
      </c>
      <c r="E4" s="103" t="s">
        <v>657</v>
      </c>
      <c r="F4" s="103" t="s">
        <v>658</v>
      </c>
      <c r="G4" s="103" t="s">
        <v>659</v>
      </c>
      <c r="H4" s="103" t="s">
        <v>660</v>
      </c>
      <c r="I4" s="103" t="s">
        <v>661</v>
      </c>
      <c r="J4" s="103" t="s">
        <v>662</v>
      </c>
      <c r="K4" s="103" t="s">
        <v>663</v>
      </c>
      <c r="L4" s="103" t="s">
        <v>664</v>
      </c>
      <c r="M4" s="103" t="s">
        <v>665</v>
      </c>
      <c r="N4" s="103" t="s">
        <v>666</v>
      </c>
      <c r="O4" s="103" t="s">
        <v>667</v>
      </c>
    </row>
    <row r="5" spans="2:15" ht="135" customHeight="1" x14ac:dyDescent="0.25">
      <c r="B5" s="102" t="s">
        <v>453</v>
      </c>
      <c r="C5" s="103" t="s">
        <v>668</v>
      </c>
      <c r="D5" s="103" t="s">
        <v>669</v>
      </c>
      <c r="E5" s="103" t="s">
        <v>670</v>
      </c>
      <c r="F5" s="103" t="s">
        <v>671</v>
      </c>
      <c r="G5" s="103" t="s">
        <v>672</v>
      </c>
      <c r="H5" s="103" t="s">
        <v>673</v>
      </c>
      <c r="I5" s="103" t="s">
        <v>674</v>
      </c>
      <c r="J5" s="103" t="s">
        <v>675</v>
      </c>
      <c r="K5" s="103" t="s">
        <v>676</v>
      </c>
      <c r="L5" s="103" t="s">
        <v>677</v>
      </c>
      <c r="M5" s="103" t="s">
        <v>678</v>
      </c>
      <c r="N5" s="103" t="s">
        <v>679</v>
      </c>
      <c r="O5" s="103" t="s">
        <v>680</v>
      </c>
    </row>
    <row r="6" spans="2:15" ht="300" customHeight="1" x14ac:dyDescent="0.25">
      <c r="B6" s="102" t="s">
        <v>455</v>
      </c>
      <c r="C6" s="103" t="s">
        <v>681</v>
      </c>
      <c r="D6" s="103" t="s">
        <v>682</v>
      </c>
      <c r="E6" s="103" t="s">
        <v>683</v>
      </c>
      <c r="F6" s="103" t="s">
        <v>684</v>
      </c>
      <c r="G6" s="103" t="s">
        <v>685</v>
      </c>
      <c r="H6" s="103" t="s">
        <v>686</v>
      </c>
      <c r="I6" s="103" t="s">
        <v>687</v>
      </c>
      <c r="J6" s="103" t="s">
        <v>688</v>
      </c>
      <c r="K6" s="103" t="s">
        <v>689</v>
      </c>
      <c r="L6" s="103" t="s">
        <v>690</v>
      </c>
      <c r="M6" s="103" t="s">
        <v>691</v>
      </c>
      <c r="N6" s="103" t="s">
        <v>692</v>
      </c>
      <c r="O6" s="103" t="s">
        <v>693</v>
      </c>
    </row>
    <row r="7" spans="2:15" ht="135" customHeight="1" x14ac:dyDescent="0.25">
      <c r="B7" s="102" t="s">
        <v>694</v>
      </c>
      <c r="C7" s="103" t="s">
        <v>695</v>
      </c>
      <c r="D7" s="103" t="s">
        <v>696</v>
      </c>
      <c r="E7" s="103" t="s">
        <v>697</v>
      </c>
      <c r="F7" s="103" t="s">
        <v>698</v>
      </c>
      <c r="G7" s="103" t="s">
        <v>699</v>
      </c>
      <c r="H7" s="103" t="s">
        <v>699</v>
      </c>
      <c r="I7" s="103" t="s">
        <v>699</v>
      </c>
      <c r="J7" s="103" t="s">
        <v>699</v>
      </c>
      <c r="K7" s="103" t="s">
        <v>699</v>
      </c>
      <c r="L7" s="103" t="s">
        <v>700</v>
      </c>
      <c r="M7" s="103" t="s">
        <v>701</v>
      </c>
      <c r="N7" s="103" t="s">
        <v>702</v>
      </c>
      <c r="O7" s="103" t="s">
        <v>703</v>
      </c>
    </row>
    <row r="8" spans="2:15" ht="150" customHeight="1" x14ac:dyDescent="0.25">
      <c r="B8" s="102" t="s">
        <v>634</v>
      </c>
      <c r="C8" s="103" t="s">
        <v>704</v>
      </c>
      <c r="D8" s="103" t="s">
        <v>704</v>
      </c>
      <c r="E8" s="103" t="s">
        <v>704</v>
      </c>
      <c r="F8" s="103" t="s">
        <v>704</v>
      </c>
      <c r="G8" s="103" t="s">
        <v>705</v>
      </c>
      <c r="H8" s="103" t="s">
        <v>706</v>
      </c>
      <c r="I8" s="103" t="s">
        <v>706</v>
      </c>
      <c r="J8" s="103" t="s">
        <v>706</v>
      </c>
      <c r="K8" s="103" t="s">
        <v>706</v>
      </c>
      <c r="L8" s="103" t="s">
        <v>707</v>
      </c>
      <c r="M8" s="103" t="s">
        <v>708</v>
      </c>
      <c r="N8" s="103" t="s">
        <v>702</v>
      </c>
      <c r="O8" s="103" t="s">
        <v>709</v>
      </c>
    </row>
    <row r="9" spans="2:15" ht="60" customHeight="1" x14ac:dyDescent="0.25">
      <c r="B9" s="102" t="s">
        <v>710</v>
      </c>
      <c r="C9" s="103" t="s">
        <v>711</v>
      </c>
      <c r="D9" s="103" t="s">
        <v>712</v>
      </c>
      <c r="E9" s="103" t="s">
        <v>713</v>
      </c>
      <c r="F9" s="103" t="s">
        <v>714</v>
      </c>
      <c r="G9" s="103" t="s">
        <v>715</v>
      </c>
      <c r="H9" s="103" t="s">
        <v>715</v>
      </c>
      <c r="I9" s="103" t="s">
        <v>715</v>
      </c>
      <c r="J9" s="103" t="s">
        <v>715</v>
      </c>
      <c r="K9" s="103" t="s">
        <v>715</v>
      </c>
      <c r="L9" s="103" t="s">
        <v>715</v>
      </c>
      <c r="M9" s="103" t="s">
        <v>716</v>
      </c>
      <c r="N9" s="103" t="s">
        <v>717</v>
      </c>
      <c r="O9" s="103" t="s">
        <v>718</v>
      </c>
    </row>
    <row r="10" spans="2:15" ht="120" customHeight="1" x14ac:dyDescent="0.25">
      <c r="B10" s="102" t="s">
        <v>719</v>
      </c>
      <c r="C10" s="103" t="s">
        <v>720</v>
      </c>
      <c r="D10" s="103" t="s">
        <v>721</v>
      </c>
      <c r="E10" s="103" t="s">
        <v>722</v>
      </c>
      <c r="F10" s="103" t="s">
        <v>723</v>
      </c>
      <c r="G10" s="103" t="s">
        <v>724</v>
      </c>
      <c r="H10" s="103" t="s">
        <v>725</v>
      </c>
      <c r="I10" s="103" t="s">
        <v>726</v>
      </c>
      <c r="J10" s="103" t="s">
        <v>727</v>
      </c>
      <c r="K10" s="103" t="s">
        <v>728</v>
      </c>
      <c r="L10" s="103" t="s">
        <v>729</v>
      </c>
      <c r="M10" s="103" t="s">
        <v>730</v>
      </c>
      <c r="N10" s="103" t="s">
        <v>731</v>
      </c>
      <c r="O10" s="103" t="s">
        <v>732</v>
      </c>
    </row>
    <row r="11" spans="2:15" ht="105" customHeight="1" x14ac:dyDescent="0.25">
      <c r="B11" s="102" t="s">
        <v>733</v>
      </c>
      <c r="C11" s="103" t="s">
        <v>734</v>
      </c>
      <c r="D11" s="103" t="s">
        <v>735</v>
      </c>
      <c r="E11" s="103" t="s">
        <v>736</v>
      </c>
      <c r="F11" s="103" t="s">
        <v>737</v>
      </c>
      <c r="G11" s="103" t="s">
        <v>738</v>
      </c>
      <c r="H11" s="103" t="s">
        <v>739</v>
      </c>
      <c r="I11" s="103" t="s">
        <v>740</v>
      </c>
      <c r="J11" s="103" t="s">
        <v>741</v>
      </c>
      <c r="K11" s="103" t="s">
        <v>742</v>
      </c>
      <c r="L11" s="103" t="s">
        <v>743</v>
      </c>
      <c r="M11" s="103" t="s">
        <v>744</v>
      </c>
      <c r="N11" s="103" t="s">
        <v>745</v>
      </c>
      <c r="O11" s="103" t="s">
        <v>746</v>
      </c>
    </row>
    <row r="12" spans="2:15" ht="90" customHeight="1" x14ac:dyDescent="0.25">
      <c r="B12" s="102" t="s">
        <v>747</v>
      </c>
      <c r="C12" s="103" t="s">
        <v>748</v>
      </c>
      <c r="D12" s="103" t="s">
        <v>749</v>
      </c>
      <c r="E12" s="103" t="s">
        <v>750</v>
      </c>
      <c r="F12" s="103" t="s">
        <v>751</v>
      </c>
      <c r="G12" s="103" t="s">
        <v>752</v>
      </c>
      <c r="H12" s="103" t="s">
        <v>753</v>
      </c>
      <c r="I12" s="103" t="s">
        <v>754</v>
      </c>
      <c r="J12" s="103" t="s">
        <v>755</v>
      </c>
      <c r="K12" s="103" t="s">
        <v>756</v>
      </c>
      <c r="L12" s="103" t="s">
        <v>757</v>
      </c>
      <c r="M12" s="103" t="s">
        <v>758</v>
      </c>
      <c r="N12" s="103" t="s">
        <v>759</v>
      </c>
      <c r="O12" s="103" t="s">
        <v>760</v>
      </c>
    </row>
    <row r="13" spans="2:15" ht="90" customHeight="1" x14ac:dyDescent="0.25">
      <c r="B13" s="102" t="s">
        <v>761</v>
      </c>
      <c r="C13" s="103" t="s">
        <v>762</v>
      </c>
      <c r="D13" s="103" t="s">
        <v>763</v>
      </c>
      <c r="E13" s="103" t="s">
        <v>764</v>
      </c>
      <c r="F13" s="103" t="s">
        <v>765</v>
      </c>
      <c r="G13" s="103" t="s">
        <v>766</v>
      </c>
      <c r="H13" s="103" t="s">
        <v>767</v>
      </c>
      <c r="I13" s="103" t="s">
        <v>768</v>
      </c>
      <c r="J13" s="103" t="s">
        <v>769</v>
      </c>
      <c r="K13" s="103" t="s">
        <v>770</v>
      </c>
      <c r="L13" s="103" t="s">
        <v>771</v>
      </c>
      <c r="M13" s="103" t="s">
        <v>772</v>
      </c>
      <c r="N13" s="103" t="s">
        <v>773</v>
      </c>
      <c r="O13" s="103" t="s">
        <v>774</v>
      </c>
    </row>
    <row r="14" spans="2:15" ht="75" customHeight="1" x14ac:dyDescent="0.25">
      <c r="B14" s="102" t="s">
        <v>775</v>
      </c>
      <c r="C14" s="103" t="s">
        <v>776</v>
      </c>
      <c r="D14" s="103" t="s">
        <v>776</v>
      </c>
      <c r="E14" s="103" t="s">
        <v>776</v>
      </c>
      <c r="F14" s="103" t="s">
        <v>777</v>
      </c>
      <c r="G14" s="103" t="s">
        <v>776</v>
      </c>
      <c r="H14" s="103" t="s">
        <v>776</v>
      </c>
      <c r="I14" s="103" t="s">
        <v>776</v>
      </c>
      <c r="J14" s="103" t="s">
        <v>778</v>
      </c>
      <c r="K14" s="103" t="s">
        <v>778</v>
      </c>
      <c r="L14" s="103" t="s">
        <v>778</v>
      </c>
      <c r="M14" s="103" t="s">
        <v>779</v>
      </c>
      <c r="N14" s="103" t="s">
        <v>777</v>
      </c>
      <c r="O14" s="103" t="s">
        <v>777</v>
      </c>
    </row>
    <row r="15" spans="2:15" ht="180" customHeight="1" x14ac:dyDescent="0.25">
      <c r="B15" s="102" t="s">
        <v>780</v>
      </c>
      <c r="C15" s="103" t="s">
        <v>781</v>
      </c>
      <c r="D15" s="103" t="s">
        <v>782</v>
      </c>
      <c r="E15" s="103" t="s">
        <v>783</v>
      </c>
      <c r="F15" s="103" t="s">
        <v>784</v>
      </c>
      <c r="G15" s="103" t="s">
        <v>785</v>
      </c>
      <c r="H15" s="103" t="s">
        <v>786</v>
      </c>
      <c r="I15" s="103" t="s">
        <v>786</v>
      </c>
      <c r="J15" s="103" t="s">
        <v>786</v>
      </c>
      <c r="K15" s="103" t="s">
        <v>786</v>
      </c>
      <c r="L15" s="103" t="s">
        <v>787</v>
      </c>
      <c r="M15" s="103" t="s">
        <v>788</v>
      </c>
      <c r="N15" s="103" t="s">
        <v>789</v>
      </c>
      <c r="O15" s="103" t="s">
        <v>790</v>
      </c>
    </row>
    <row r="16" spans="2:15" ht="105" customHeight="1" x14ac:dyDescent="0.25">
      <c r="B16" s="102" t="s">
        <v>791</v>
      </c>
      <c r="C16" s="103" t="s">
        <v>792</v>
      </c>
      <c r="D16" s="103" t="s">
        <v>793</v>
      </c>
      <c r="E16" s="103" t="s">
        <v>794</v>
      </c>
      <c r="F16" s="103" t="s">
        <v>795</v>
      </c>
      <c r="G16" s="103" t="s">
        <v>796</v>
      </c>
      <c r="H16" s="103" t="s">
        <v>797</v>
      </c>
      <c r="I16" s="103" t="s">
        <v>798</v>
      </c>
      <c r="J16" s="103" t="s">
        <v>799</v>
      </c>
      <c r="K16" s="103" t="s">
        <v>800</v>
      </c>
      <c r="L16" s="103" t="s">
        <v>801</v>
      </c>
      <c r="M16" s="103" t="s">
        <v>802</v>
      </c>
      <c r="N16" s="103" t="s">
        <v>803</v>
      </c>
      <c r="O16" s="103" t="s">
        <v>804</v>
      </c>
    </row>
    <row r="17" spans="1:15" ht="75" customHeight="1" x14ac:dyDescent="0.25">
      <c r="B17" s="102" t="s">
        <v>805</v>
      </c>
      <c r="C17" s="103" t="s">
        <v>806</v>
      </c>
      <c r="D17" s="103" t="s">
        <v>807</v>
      </c>
      <c r="E17" s="103" t="s">
        <v>713</v>
      </c>
      <c r="F17" s="103" t="s">
        <v>808</v>
      </c>
      <c r="G17" s="103" t="s">
        <v>809</v>
      </c>
      <c r="H17" s="103" t="s">
        <v>809</v>
      </c>
      <c r="I17" s="103" t="s">
        <v>810</v>
      </c>
      <c r="J17" s="103" t="s">
        <v>811</v>
      </c>
      <c r="K17" s="103" t="s">
        <v>812</v>
      </c>
      <c r="L17" s="103" t="s">
        <v>716</v>
      </c>
      <c r="M17" s="103" t="s">
        <v>813</v>
      </c>
      <c r="N17" s="103" t="s">
        <v>814</v>
      </c>
      <c r="O17" s="103" t="s">
        <v>815</v>
      </c>
    </row>
    <row r="18" spans="1:15" ht="30" customHeight="1" x14ac:dyDescent="0.25">
      <c r="A18" s="101" t="s">
        <v>816</v>
      </c>
      <c r="F18" s="104" t="s">
        <v>817</v>
      </c>
    </row>
    <row r="19" spans="1:15" ht="15" customHeight="1" x14ac:dyDescent="0.25">
      <c r="A19" s="103" t="s">
        <v>172</v>
      </c>
      <c r="F19" s="54">
        <v>0.2</v>
      </c>
    </row>
    <row r="20" spans="1:15" ht="15" customHeight="1" x14ac:dyDescent="0.25">
      <c r="A20" s="103" t="s">
        <v>188</v>
      </c>
      <c r="F20" s="54">
        <v>0.15</v>
      </c>
    </row>
    <row r="21" spans="1:15" ht="15" customHeight="1" x14ac:dyDescent="0.25">
      <c r="A21" s="103" t="s">
        <v>189</v>
      </c>
      <c r="F21" s="54">
        <v>0.15</v>
      </c>
    </row>
    <row r="22" spans="1:15" ht="15" customHeight="1" x14ac:dyDescent="0.25">
      <c r="A22" s="103" t="s">
        <v>412</v>
      </c>
      <c r="F22" s="54">
        <v>0.1</v>
      </c>
    </row>
    <row r="23" spans="1:15" ht="15" customHeight="1" x14ac:dyDescent="0.25">
      <c r="A23" s="103" t="s">
        <v>200</v>
      </c>
      <c r="F23" s="54">
        <v>0.15</v>
      </c>
    </row>
    <row r="24" spans="1:15" ht="15" customHeight="1" x14ac:dyDescent="0.25">
      <c r="A24" s="103" t="s">
        <v>197</v>
      </c>
      <c r="F24" s="54">
        <v>0.1</v>
      </c>
    </row>
    <row r="25" spans="1:15" ht="15" customHeight="1" x14ac:dyDescent="0.25">
      <c r="A25" s="103" t="s">
        <v>433</v>
      </c>
      <c r="F25" s="54">
        <v>0.1</v>
      </c>
    </row>
    <row r="26" spans="1:15" ht="30" customHeight="1" x14ac:dyDescent="0.25">
      <c r="A26" s="103" t="s">
        <v>195</v>
      </c>
      <c r="F26" s="54">
        <v>0.05</v>
      </c>
    </row>
    <row r="27" spans="1:15" ht="15" customHeight="1" x14ac:dyDescent="0.25">
      <c r="A27" s="102" t="s">
        <v>818</v>
      </c>
      <c r="F27" s="105">
        <v>1</v>
      </c>
    </row>
    <row r="29" spans="1:15" ht="30" customHeight="1" x14ac:dyDescent="0.25">
      <c r="A29" s="101" t="s">
        <v>365</v>
      </c>
      <c r="C29" s="104" t="s">
        <v>817</v>
      </c>
    </row>
    <row r="30" spans="1:15" ht="15" customHeight="1" x14ac:dyDescent="0.25">
      <c r="A30" s="103" t="s">
        <v>165</v>
      </c>
      <c r="C30" s="54">
        <v>0.2</v>
      </c>
    </row>
    <row r="31" spans="1:15" ht="15" customHeight="1" x14ac:dyDescent="0.25">
      <c r="A31" s="103" t="s">
        <v>166</v>
      </c>
      <c r="C31" s="54">
        <v>0.1</v>
      </c>
    </row>
    <row r="32" spans="1:15" ht="15" customHeight="1" x14ac:dyDescent="0.25">
      <c r="A32" s="103" t="s">
        <v>167</v>
      </c>
      <c r="C32" s="54">
        <v>0.2</v>
      </c>
    </row>
    <row r="33" spans="1:5" ht="15" customHeight="1" x14ac:dyDescent="0.25">
      <c r="A33" s="103" t="s">
        <v>398</v>
      </c>
      <c r="C33" s="54">
        <v>0.15</v>
      </c>
    </row>
    <row r="34" spans="1:5" ht="15" customHeight="1" x14ac:dyDescent="0.25">
      <c r="A34" s="103" t="s">
        <v>392</v>
      </c>
      <c r="C34" s="54">
        <v>0.1</v>
      </c>
    </row>
    <row r="35" spans="1:5" ht="15" customHeight="1" x14ac:dyDescent="0.25">
      <c r="A35" s="103" t="s">
        <v>395</v>
      </c>
      <c r="C35" s="54">
        <v>0.1</v>
      </c>
    </row>
    <row r="36" spans="1:5" ht="15" customHeight="1" x14ac:dyDescent="0.25">
      <c r="A36" s="103" t="s">
        <v>206</v>
      </c>
      <c r="C36" s="54">
        <v>0.1</v>
      </c>
    </row>
    <row r="37" spans="1:5" ht="15" customHeight="1" x14ac:dyDescent="0.25">
      <c r="A37" s="103" t="s">
        <v>205</v>
      </c>
      <c r="C37" s="54">
        <v>0.05</v>
      </c>
    </row>
    <row r="38" spans="1:5" ht="15" customHeight="1" x14ac:dyDescent="0.25">
      <c r="A38" s="102" t="s">
        <v>818</v>
      </c>
      <c r="C38" s="105">
        <v>1</v>
      </c>
    </row>
    <row r="40" spans="1:5" ht="30" customHeight="1" x14ac:dyDescent="0.25">
      <c r="A40" s="101" t="s">
        <v>365</v>
      </c>
      <c r="E40" s="104" t="s">
        <v>817</v>
      </c>
    </row>
    <row r="41" spans="1:5" ht="15" customHeight="1" x14ac:dyDescent="0.25">
      <c r="A41" s="103" t="s">
        <v>200</v>
      </c>
      <c r="E41" s="54">
        <v>0.15</v>
      </c>
    </row>
    <row r="42" spans="1:5" ht="15" customHeight="1" x14ac:dyDescent="0.25">
      <c r="A42" s="103" t="s">
        <v>201</v>
      </c>
      <c r="E42" s="54">
        <v>0.25</v>
      </c>
    </row>
    <row r="43" spans="1:5" ht="15" customHeight="1" x14ac:dyDescent="0.25">
      <c r="A43" s="103" t="s">
        <v>202</v>
      </c>
      <c r="E43" s="54">
        <v>0.15</v>
      </c>
    </row>
    <row r="44" spans="1:5" ht="15" customHeight="1" x14ac:dyDescent="0.25">
      <c r="A44" s="103" t="s">
        <v>203</v>
      </c>
      <c r="E44" s="54">
        <v>0.15</v>
      </c>
    </row>
    <row r="45" spans="1:5" ht="15" customHeight="1" x14ac:dyDescent="0.25">
      <c r="A45" s="103" t="s">
        <v>205</v>
      </c>
      <c r="E45" s="54">
        <v>0.2</v>
      </c>
    </row>
    <row r="46" spans="1:5" ht="30" customHeight="1" x14ac:dyDescent="0.25">
      <c r="A46" s="103" t="s">
        <v>560</v>
      </c>
      <c r="E46" s="54">
        <v>0.1</v>
      </c>
    </row>
    <row r="47" spans="1:5" ht="15" customHeight="1" x14ac:dyDescent="0.25">
      <c r="A47" s="102" t="s">
        <v>818</v>
      </c>
      <c r="E47" s="105">
        <v>1</v>
      </c>
    </row>
    <row r="49" spans="1:15" ht="30" customHeight="1" x14ac:dyDescent="0.25">
      <c r="A49" s="101" t="s">
        <v>365</v>
      </c>
      <c r="D49" s="104" t="s">
        <v>817</v>
      </c>
    </row>
    <row r="50" spans="1:15" ht="15" customHeight="1" x14ac:dyDescent="0.25">
      <c r="A50" s="103" t="s">
        <v>172</v>
      </c>
      <c r="D50" s="106">
        <v>0.2</v>
      </c>
    </row>
    <row r="51" spans="1:15" ht="15" customHeight="1" x14ac:dyDescent="0.25">
      <c r="A51" s="103" t="s">
        <v>188</v>
      </c>
      <c r="D51" s="106">
        <v>0.15</v>
      </c>
    </row>
    <row r="52" spans="1:15" ht="15" customHeight="1" x14ac:dyDescent="0.25">
      <c r="A52" s="103" t="s">
        <v>189</v>
      </c>
      <c r="D52" s="106">
        <v>0.15</v>
      </c>
    </row>
    <row r="53" spans="1:15" ht="15" customHeight="1" x14ac:dyDescent="0.25">
      <c r="A53" s="103" t="s">
        <v>412</v>
      </c>
      <c r="D53" s="106">
        <v>0.1</v>
      </c>
    </row>
    <row r="54" spans="1:15" ht="15" customHeight="1" x14ac:dyDescent="0.25">
      <c r="A54" s="103" t="s">
        <v>197</v>
      </c>
      <c r="D54" s="106">
        <v>0.15</v>
      </c>
    </row>
    <row r="55" spans="1:15" ht="15" customHeight="1" x14ac:dyDescent="0.25">
      <c r="A55" s="103" t="s">
        <v>433</v>
      </c>
      <c r="D55" s="106">
        <v>0.15</v>
      </c>
    </row>
    <row r="56" spans="1:15" ht="30" customHeight="1" x14ac:dyDescent="0.25">
      <c r="A56" s="103" t="s">
        <v>195</v>
      </c>
      <c r="D56" s="106">
        <v>0.1</v>
      </c>
    </row>
    <row r="57" spans="1:15" ht="15" customHeight="1" x14ac:dyDescent="0.25">
      <c r="A57" s="102" t="s">
        <v>818</v>
      </c>
      <c r="D57" s="105">
        <v>1</v>
      </c>
    </row>
    <row r="58" spans="1:15" ht="15" customHeight="1" x14ac:dyDescent="0.25">
      <c r="O58" s="15" t="s">
        <v>288</v>
      </c>
    </row>
    <row r="59" spans="1:15" ht="15" customHeight="1" x14ac:dyDescent="0.25">
      <c r="N59" s="15" t="s">
        <v>150</v>
      </c>
      <c r="O59" s="15" t="s">
        <v>819</v>
      </c>
    </row>
    <row r="60" spans="1:15" ht="15" customHeight="1" x14ac:dyDescent="0.25">
      <c r="N60" s="15" t="s">
        <v>819</v>
      </c>
      <c r="O60" s="15" t="s">
        <v>820</v>
      </c>
    </row>
    <row r="61" spans="1:15" ht="15" customHeight="1" x14ac:dyDescent="0.25">
      <c r="N61" s="15" t="s">
        <v>821</v>
      </c>
      <c r="O61" s="15" t="s">
        <v>822</v>
      </c>
    </row>
    <row r="62" spans="1:15" ht="15" customHeight="1" x14ac:dyDescent="0.25">
      <c r="N62" s="15" t="s">
        <v>822</v>
      </c>
      <c r="O62" s="15" t="s">
        <v>823</v>
      </c>
    </row>
    <row r="63" spans="1:15" ht="15" customHeight="1" x14ac:dyDescent="0.25">
      <c r="N63" s="15" t="s">
        <v>824</v>
      </c>
      <c r="O63" s="15" t="s">
        <v>822</v>
      </c>
    </row>
    <row r="64" spans="1:15" ht="15" customHeight="1" x14ac:dyDescent="0.25">
      <c r="N64" s="15" t="s">
        <v>822</v>
      </c>
      <c r="O64" s="15" t="s">
        <v>825</v>
      </c>
    </row>
    <row r="65" spans="1:15" ht="15" customHeight="1" x14ac:dyDescent="0.25">
      <c r="N65" s="15" t="s">
        <v>826</v>
      </c>
      <c r="O65" s="15" t="s">
        <v>822</v>
      </c>
    </row>
    <row r="66" spans="1:15" ht="15" customHeight="1" x14ac:dyDescent="0.25">
      <c r="N66" s="15" t="s">
        <v>822</v>
      </c>
      <c r="O66" s="15" t="s">
        <v>827</v>
      </c>
    </row>
    <row r="67" spans="1:15" ht="15" customHeight="1" x14ac:dyDescent="0.25">
      <c r="N67" s="15" t="s">
        <v>828</v>
      </c>
    </row>
    <row r="68" spans="1:15" ht="15" customHeight="1" x14ac:dyDescent="0.25"/>
    <row r="69" spans="1:15" ht="21.75" customHeight="1" x14ac:dyDescent="0.25">
      <c r="A69" s="3" t="s">
        <v>829</v>
      </c>
      <c r="B69" s="3"/>
      <c r="C69" s="3"/>
      <c r="D69" s="3"/>
      <c r="E69" s="3"/>
      <c r="F69" s="3"/>
      <c r="G69" s="3"/>
      <c r="H69" s="3"/>
      <c r="I69" s="3"/>
      <c r="J69" s="3"/>
      <c r="K69" s="3"/>
      <c r="L69" s="3"/>
      <c r="M69" s="3"/>
      <c r="N69" s="3"/>
    </row>
    <row r="70" spans="1:15" ht="31.5" customHeight="1" x14ac:dyDescent="0.25">
      <c r="A70" s="1" t="s">
        <v>830</v>
      </c>
      <c r="B70" s="1"/>
      <c r="C70" s="107" t="str">
        <f>'5_Mechanistic'!$C$4</f>
        <v>АВТО</v>
      </c>
      <c r="D70" s="362" t="s">
        <v>831</v>
      </c>
      <c r="E70" s="362"/>
      <c r="F70" s="362"/>
      <c r="G70" s="362"/>
      <c r="H70" s="362"/>
      <c r="I70" s="362"/>
      <c r="J70" s="362"/>
      <c r="K70" s="362"/>
      <c r="L70" s="362"/>
      <c r="M70" s="362"/>
      <c r="N70" s="362"/>
    </row>
    <row r="71" spans="1:15" ht="15" customHeight="1" x14ac:dyDescent="0.25">
      <c r="B71" s="57"/>
      <c r="C71" s="57"/>
      <c r="D71" s="57"/>
      <c r="E71" s="57"/>
      <c r="F71" s="57"/>
    </row>
    <row r="72" spans="1:15" ht="15" customHeight="1" x14ac:dyDescent="0.25">
      <c r="A72" s="357" t="s">
        <v>832</v>
      </c>
      <c r="B72" s="357"/>
      <c r="C72" s="357"/>
      <c r="D72" s="357"/>
      <c r="E72" s="357"/>
      <c r="F72" s="357"/>
      <c r="G72" s="357"/>
      <c r="H72" s="357"/>
      <c r="I72" s="357"/>
      <c r="J72" s="357"/>
      <c r="K72" s="357"/>
      <c r="L72" s="357"/>
      <c r="M72" s="357"/>
      <c r="N72" s="357"/>
    </row>
    <row r="73" spans="1:15" ht="30" customHeight="1" x14ac:dyDescent="0.25">
      <c r="A73" s="16" t="s">
        <v>833</v>
      </c>
      <c r="B73" s="108" t="s">
        <v>834</v>
      </c>
      <c r="C73" s="108" t="s">
        <v>589</v>
      </c>
      <c r="D73" s="108" t="s">
        <v>835</v>
      </c>
      <c r="E73" s="108" t="s">
        <v>228</v>
      </c>
      <c r="F73" s="108" t="s">
        <v>229</v>
      </c>
      <c r="G73" s="16" t="s">
        <v>230</v>
      </c>
      <c r="H73" s="16" t="s">
        <v>231</v>
      </c>
      <c r="I73" s="16" t="s">
        <v>232</v>
      </c>
      <c r="J73" s="16" t="s">
        <v>836</v>
      </c>
      <c r="K73" s="16" t="s">
        <v>593</v>
      </c>
    </row>
    <row r="74" spans="1:15" ht="15" customHeight="1" x14ac:dyDescent="0.25">
      <c r="A74" s="109" t="s">
        <v>269</v>
      </c>
      <c r="B74" s="110" t="s">
        <v>165</v>
      </c>
      <c r="C74" s="111">
        <f>$C$30</f>
        <v>0.2</v>
      </c>
      <c r="D74" s="112" t="str">
        <f>IF($C$70="ЕКСПРЕС",IF(ISNUMBER(MATCH($B74,'2_Parameter_Scores'!$B$2:$B$34,0)),"Експрес (лист 2)","— немає"),IF($C$70="ПОВНЕ",IF(ISNUMBER(MATCH($B74,'3_коефіцієнти_розширеного_аналі'!$C$2:$C$49,0)),"Повне (лист 3)","— немає"),IF(ISNUMBER(MATCH($B74,'3_коефіцієнти_розширеного_аналі'!$C$2:$C$49,0)),"Повне (лист 3)",IF(ISNUMBER(MATCH($B74,'2_Parameter_Scores'!$B$2:$B$34,0)),"Експрес (лист 2)","— немає"))))</f>
        <v>Повне (лист 3)</v>
      </c>
      <c r="E74" s="113">
        <f>IFERROR(IF($C$70="ЕКСПРЕС",INDEX('2_Parameter_Scores'!$H$2:$H$34,MATCH($B74,'2_Parameter_Scores'!$B$2:$B$34,0)),IF($C$70="ПОВНЕ",INDEX('3_коефіцієнти_розширеного_аналі'!$L$2:$L$49,MATCH($B74,'3_коефіцієнти_розширеного_аналі'!$C$2:$C$49,0)),IFERROR(INDEX('3_коефіцієнти_розширеного_аналі'!$L$2:$L$49,MATCH($B74,'3_коефіцієнти_розширеного_аналі'!$C$2:$C$49,0)),INDEX('2_Parameter_Scores'!$H$2:$H$34,MATCH($B74,'2_Parameter_Scores'!$B$2:$B$34,0))))),0)</f>
        <v>2.2653061224489783E-2</v>
      </c>
      <c r="F74" s="113">
        <f>IFERROR(IF($C$70="ЕКСПРЕС",INDEX('2_Parameter_Scores'!$I$2:$I$34,MATCH($B74,'2_Parameter_Scores'!$B$2:$B$34,0)),IF($C$70="ПОВНЕ",INDEX('3_коефіцієнти_розширеного_аналі'!$M$2:$M$49,MATCH($B74,'3_коефіцієнти_розширеного_аналі'!$C$2:$C$49,0)),IFERROR(INDEX('3_коефіцієнти_розширеного_аналі'!$M$2:$M$49,MATCH($B74,'3_коефіцієнти_розширеного_аналі'!$C$2:$C$49,0)),INDEX('2_Parameter_Scores'!$I$2:$I$34,MATCH($B74,'2_Parameter_Scores'!$B$2:$B$34,0))))),0)</f>
        <v>0.2191836734693878</v>
      </c>
      <c r="G74" s="113">
        <f>IFERROR(IF($C$70="ЕКСПРЕС",INDEX('2_Parameter_Scores'!$J$2:$J$34,MATCH($B74,'2_Parameter_Scores'!$B$2:$B$34,0)),IF($C$70="ПОВНЕ",INDEX('3_коефіцієнти_розширеного_аналі'!$N$2:$N$49,MATCH($B74,'3_коефіцієнти_розширеного_аналі'!$C$2:$C$49,0)),IFERROR(INDEX('3_коефіцієнти_розширеного_аналі'!$N$2:$N$49,MATCH($B74,'3_коефіцієнти_розширеного_аналі'!$C$2:$C$49,0)),INDEX('2_Parameter_Scores'!$J$2:$J$34,MATCH($B74,'2_Parameter_Scores'!$B$2:$B$34,0))))),0)</f>
        <v>0.38877551020408158</v>
      </c>
      <c r="H74" s="113">
        <f>IFERROR(IF($C$70="ЕКСПРЕС",INDEX('2_Parameter_Scores'!$K$2:$K$34,MATCH($B74,'2_Parameter_Scores'!$B$2:$B$34,0)),IF($C$70="ПОВНЕ",INDEX('3_коефіцієнти_розширеного_аналі'!$O$2:$O$49,MATCH($B74,'3_коефіцієнти_розширеного_аналі'!$C$2:$C$49,0)),IFERROR(INDEX('3_коефіцієнти_розширеного_аналі'!$O$2:$O$49,MATCH($B74,'3_коефіцієнти_розширеного_аналі'!$C$2:$C$49,0)),INDEX('2_Parameter_Scores'!$K$2:$K$34,MATCH($B74,'2_Parameter_Scores'!$B$2:$B$34,0))))),0)</f>
        <v>0.69408163265306122</v>
      </c>
      <c r="I74" s="113">
        <f>IFERROR(IF($C$70="ЕКСПРЕС",INDEX('2_Parameter_Scores'!$L$2:$L$34,MATCH($B74,'2_Parameter_Scores'!$B$2:$B$34,0)),IF($C$70="ПОВНЕ",INDEX('3_коефіцієнти_розширеного_аналі'!$P$2:$P$49,MATCH($B74,'3_коефіцієнти_розширеного_аналі'!$C$2:$C$49,0)),IFERROR(INDEX('3_коефіцієнти_розширеного_аналі'!$P$2:$P$49,MATCH($B74,'3_коефіцієнти_розширеного_аналі'!$C$2:$C$49,0)),INDEX('2_Parameter_Scores'!$L$2:$L$34,MATCH($B74,'2_Parameter_Scores'!$B$2:$B$34,0))))),0)</f>
        <v>0.81612244897959174</v>
      </c>
      <c r="J74" s="114">
        <f t="shared" ref="J74:J81" si="0">IF(LEFT($D74,1)="—",0,1)</f>
        <v>1</v>
      </c>
      <c r="K74" s="115">
        <f t="shared" ref="K74:K81" si="1">IF($J74=0,0,$C74/SUMPRODUCT($C$74:$C$81,$J$74:$J$81))</f>
        <v>0.2</v>
      </c>
    </row>
    <row r="75" spans="1:15" ht="21.75" customHeight="1" x14ac:dyDescent="0.25">
      <c r="A75" s="109" t="s">
        <v>269</v>
      </c>
      <c r="B75" s="116" t="s">
        <v>166</v>
      </c>
      <c r="C75" s="111">
        <f>$C$31</f>
        <v>0.1</v>
      </c>
      <c r="D75" s="117" t="str">
        <f>IF($C$70="ЕКСПРЕС",IF(ISNUMBER(MATCH($B75,'2_Parameter_Scores'!$B$2:$B$34,0)),"Експрес (лист 2)","— немає"),IF($C$70="ПОВНЕ",IF(ISNUMBER(MATCH($B75,'3_коефіцієнти_розширеного_аналі'!$C$2:$C$49,0)),"Повне (лист 3)","— немає"),IF(ISNUMBER(MATCH($B75,'3_коефіцієнти_розширеного_аналі'!$C$2:$C$49,0)),"Повне (лист 3)",IF(ISNUMBER(MATCH($B75,'2_Parameter_Scores'!$B$2:$B$34,0)),"Експрес (лист 2)","— немає"))))</f>
        <v>Повне (лист 3)</v>
      </c>
      <c r="E75" s="113">
        <f>IFERROR(IF($C$70="ЕКСПРЕС",INDEX('2_Parameter_Scores'!$H$2:$H$34,MATCH($B75,'2_Parameter_Scores'!$B$2:$B$34,0)),IF($C$70="ПОВНЕ",INDEX('3_коефіцієнти_розширеного_аналі'!$L$2:$L$49,MATCH($B75,'3_коефіцієнти_розширеного_аналі'!$C$2:$C$49,0)),IFERROR(INDEX('3_коефіцієнти_розширеного_аналі'!$L$2:$L$49,MATCH($B75,'3_коефіцієнти_розширеного_аналі'!$C$2:$C$49,0)),INDEX('2_Parameter_Scores'!$H$2:$H$34,MATCH($B75,'2_Parameter_Scores'!$B$2:$B$34,0))))),0)</f>
        <v>5.2978723404255211E-2</v>
      </c>
      <c r="F75" s="113">
        <f>IFERROR(IF($C$70="ЕКСПРЕС",INDEX('2_Parameter_Scores'!$I$2:$I$34,MATCH($B75,'2_Parameter_Scores'!$B$2:$B$34,0)),IF($C$70="ПОВНЕ",INDEX('3_коефіцієнти_розширеного_аналі'!$M$2:$M$49,MATCH($B75,'3_коефіцієнти_розширеного_аналі'!$C$2:$C$49,0)),IFERROR(INDEX('3_коефіцієнти_розширеного_аналі'!$M$2:$M$49,MATCH($B75,'3_коефіцієнти_розширеного_аналі'!$C$2:$C$49,0)),INDEX('2_Parameter_Scores'!$I$2:$I$34,MATCH($B75,'2_Parameter_Scores'!$B$2:$B$34,0))))),0)</f>
        <v>0.28553191489361707</v>
      </c>
      <c r="G75" s="113">
        <f>IFERROR(IF($C$70="ЕКСПРЕС",INDEX('2_Parameter_Scores'!$J$2:$J$34,MATCH($B75,'2_Parameter_Scores'!$B$2:$B$34,0)),IF($C$70="ПОВНЕ",INDEX('3_коефіцієнти_розширеного_аналі'!$N$2:$N$49,MATCH($B75,'3_коефіцієнти_розширеного_аналі'!$C$2:$C$49,0)),IFERROR(INDEX('3_коефіцієнти_розширеного_аналі'!$N$2:$N$49,MATCH($B75,'3_коефіцієнти_розширеного_аналі'!$C$2:$C$49,0)),INDEX('2_Parameter_Scores'!$J$2:$J$34,MATCH($B75,'2_Parameter_Scores'!$B$2:$B$34,0))))),0)</f>
        <v>0.39446808510638298</v>
      </c>
      <c r="H75" s="113">
        <f>IFERROR(IF($C$70="ЕКСПРЕС",INDEX('2_Parameter_Scores'!$K$2:$K$34,MATCH($B75,'2_Parameter_Scores'!$B$2:$B$34,0)),IF($C$70="ПОВНЕ",INDEX('3_коефіцієнти_розширеного_аналі'!$O$2:$O$49,MATCH($B75,'3_коефіцієнти_розширеного_аналі'!$C$2:$C$49,0)),IFERROR(INDEX('3_коефіцієнти_розширеного_аналі'!$O$2:$O$49,MATCH($B75,'3_коефіцієнти_розширеного_аналі'!$C$2:$C$49,0)),INDEX('2_Parameter_Scores'!$K$2:$K$34,MATCH($B75,'2_Parameter_Scores'!$B$2:$B$34,0))))),0)</f>
        <v>0.64255319148936174</v>
      </c>
      <c r="I75" s="113">
        <f>IFERROR(IF($C$70="ЕКСПРЕС",INDEX('2_Parameter_Scores'!$L$2:$L$34,MATCH($B75,'2_Parameter_Scores'!$B$2:$B$34,0)),IF($C$70="ПОВНЕ",INDEX('3_коефіцієнти_розширеного_аналі'!$P$2:$P$49,MATCH($B75,'3_коефіцієнти_розширеного_аналі'!$C$2:$C$49,0)),IFERROR(INDEX('3_коефіцієнти_розширеного_аналі'!$P$2:$P$49,MATCH($B75,'3_коефіцієнти_розширеного_аналі'!$C$2:$C$49,0)),INDEX('2_Parameter_Scores'!$L$2:$L$34,MATCH($B75,'2_Parameter_Scores'!$B$2:$B$34,0))))),0)</f>
        <v>0.86361702127659579</v>
      </c>
      <c r="J75" s="114">
        <f t="shared" si="0"/>
        <v>1</v>
      </c>
      <c r="K75" s="115">
        <f t="shared" si="1"/>
        <v>0.1</v>
      </c>
    </row>
    <row r="76" spans="1:15" ht="21.75" customHeight="1" x14ac:dyDescent="0.25">
      <c r="A76" s="109" t="s">
        <v>269</v>
      </c>
      <c r="B76" s="116" t="s">
        <v>167</v>
      </c>
      <c r="C76" s="111">
        <f>$C$32</f>
        <v>0.2</v>
      </c>
      <c r="D76" s="117" t="str">
        <f>IF($C$70="ЕКСПРЕС",IF(ISNUMBER(MATCH($B76,'2_Parameter_Scores'!$B$2:$B$34,0)),"Експрес (лист 2)","— немає"),IF($C$70="ПОВНЕ",IF(ISNUMBER(MATCH($B76,'3_коефіцієнти_розширеного_аналі'!$C$2:$C$49,0)),"Повне (лист 3)","— немає"),IF(ISNUMBER(MATCH($B76,'3_коефіцієнти_розширеного_аналі'!$C$2:$C$49,0)),"Повне (лист 3)",IF(ISNUMBER(MATCH($B76,'2_Parameter_Scores'!$B$2:$B$34,0)),"Експрес (лист 2)","— немає"))))</f>
        <v>Повне (лист 3)</v>
      </c>
      <c r="E76" s="113">
        <f>IFERROR(IF($C$70="ЕКСПРЕС",INDEX('2_Parameter_Scores'!$H$2:$H$34,MATCH($B76,'2_Parameter_Scores'!$B$2:$B$34,0)),IF($C$70="ПОВНЕ",INDEX('3_коефіцієнти_розширеного_аналі'!$L$2:$L$49,MATCH($B76,'3_коефіцієнти_розширеного_аналі'!$C$2:$C$49,0)),IFERROR(INDEX('3_коефіцієнти_розширеного_аналі'!$L$2:$L$49,MATCH($B76,'3_коефіцієнти_розширеного_аналі'!$C$2:$C$49,0)),INDEX('2_Parameter_Scores'!$H$2:$H$34,MATCH($B76,'2_Parameter_Scores'!$B$2:$B$34,0))))),0)</f>
        <v>2.6399999999999865E-2</v>
      </c>
      <c r="F76" s="113">
        <f>IFERROR(IF($C$70="ЕКСПРЕС",INDEX('2_Parameter_Scores'!$I$2:$I$34,MATCH($B76,'2_Parameter_Scores'!$B$2:$B$34,0)),IF($C$70="ПОВНЕ",INDEX('3_коефіцієнти_розширеного_аналі'!$M$2:$M$49,MATCH($B76,'3_коефіцієнти_розширеного_аналі'!$C$2:$C$49,0)),IFERROR(INDEX('3_коефіцієнти_розширеного_аналі'!$M$2:$M$49,MATCH($B76,'3_коефіцієнти_розширеного_аналі'!$C$2:$C$49,0)),INDEX('2_Parameter_Scores'!$I$2:$I$34,MATCH($B76,'2_Parameter_Scores'!$B$2:$B$34,0))))),0)</f>
        <v>0.23340000000000002</v>
      </c>
      <c r="G76" s="113">
        <f>IFERROR(IF($C$70="ЕКСПРЕС",INDEX('2_Parameter_Scores'!$J$2:$J$34,MATCH($B76,'2_Parameter_Scores'!$B$2:$B$34,0)),IF($C$70="ПОВНЕ",INDEX('3_коефіцієнти_розширеного_аналі'!$N$2:$N$49,MATCH($B76,'3_коефіцієнти_розширеного_аналі'!$C$2:$C$49,0)),IFERROR(INDEX('3_коефіцієнти_розширеного_аналі'!$N$2:$N$49,MATCH($B76,'3_коефіцієнти_розширеного_аналі'!$C$2:$C$49,0)),INDEX('2_Parameter_Scores'!$J$2:$J$34,MATCH($B76,'2_Parameter_Scores'!$B$2:$B$34,0))))),0)</f>
        <v>0.33980000000000005</v>
      </c>
      <c r="H76" s="113">
        <f>IFERROR(IF($C$70="ЕКСПРЕС",INDEX('2_Parameter_Scores'!$K$2:$K$34,MATCH($B76,'2_Parameter_Scores'!$B$2:$B$34,0)),IF($C$70="ПОВНЕ",INDEX('3_коефіцієнти_розширеного_аналі'!$O$2:$O$49,MATCH($B76,'3_коефіцієнти_розширеного_аналі'!$C$2:$C$49,0)),IFERROR(INDEX('3_коефіцієнти_розширеного_аналі'!$O$2:$O$49,MATCH($B76,'3_коефіцієнти_розширеного_аналі'!$C$2:$C$49,0)),INDEX('2_Parameter_Scores'!$K$2:$K$34,MATCH($B76,'2_Parameter_Scores'!$B$2:$B$34,0))))),0)</f>
        <v>0.39340000000000003</v>
      </c>
      <c r="I76" s="113">
        <f>IFERROR(IF($C$70="ЕКСПРЕС",INDEX('2_Parameter_Scores'!$L$2:$L$34,MATCH($B76,'2_Parameter_Scores'!$B$2:$B$34,0)),IF($C$70="ПОВНЕ",INDEX('3_коефіцієнти_розширеного_аналі'!$P$2:$P$49,MATCH($B76,'3_коефіцієнти_розширеного_аналі'!$C$2:$C$49,0)),IFERROR(INDEX('3_коефіцієнти_розширеного_аналі'!$P$2:$P$49,MATCH($B76,'3_коефіцієнти_розширеного_аналі'!$C$2:$C$49,0)),INDEX('2_Parameter_Scores'!$L$2:$L$34,MATCH($B76,'2_Parameter_Scores'!$B$2:$B$34,0))))),0)</f>
        <v>0.58079999999999998</v>
      </c>
      <c r="J76" s="114">
        <f t="shared" si="0"/>
        <v>1</v>
      </c>
      <c r="K76" s="115">
        <f t="shared" si="1"/>
        <v>0.2</v>
      </c>
    </row>
    <row r="77" spans="1:15" ht="21.75" customHeight="1" x14ac:dyDescent="0.25">
      <c r="A77" s="109" t="s">
        <v>269</v>
      </c>
      <c r="B77" s="116" t="s">
        <v>398</v>
      </c>
      <c r="C77" s="111">
        <f>$C$33</f>
        <v>0.15</v>
      </c>
      <c r="D77" s="117" t="str">
        <f>IF($C$70="ЕКСПРЕС",IF(ISNUMBER(MATCH($B77,'2_Parameter_Scores'!$B$2:$B$34,0)),"Експрес (лист 2)","— немає"),IF($C$70="ПОВНЕ",IF(ISNUMBER(MATCH($B77,'3_коефіцієнти_розширеного_аналі'!$C$2:$C$49,0)),"Повне (лист 3)","— немає"),IF(ISNUMBER(MATCH($B77,'3_коефіцієнти_розширеного_аналі'!$C$2:$C$49,0)),"Повне (лист 3)",IF(ISNUMBER(MATCH($B77,'2_Parameter_Scores'!$B$2:$B$34,0)),"Експрес (лист 2)","— немає"))))</f>
        <v>Повне (лист 3)</v>
      </c>
      <c r="E77" s="113">
        <f>IFERROR(IF($C$70="ЕКСПРЕС",INDEX('2_Parameter_Scores'!$H$2:$H$34,MATCH($B77,'2_Parameter_Scores'!$B$2:$B$34,0)),IF($C$70="ПОВНЕ",INDEX('3_коефіцієнти_розширеного_аналі'!$L$2:$L$49,MATCH($B77,'3_коефіцієнти_розширеного_аналі'!$C$2:$C$49,0)),IFERROR(INDEX('3_коефіцієнти_розширеного_аналі'!$L$2:$L$49,MATCH($B77,'3_коефіцієнти_розширеного_аналі'!$C$2:$C$49,0)),INDEX('2_Parameter_Scores'!$H$2:$H$34,MATCH($B77,'2_Parameter_Scores'!$B$2:$B$34,0))))),0)</f>
        <v>0</v>
      </c>
      <c r="F77" s="113">
        <f>IFERROR(IF($C$70="ЕКСПРЕС",INDEX('2_Parameter_Scores'!$I$2:$I$34,MATCH($B77,'2_Parameter_Scores'!$B$2:$B$34,0)),IF($C$70="ПОВНЕ",INDEX('3_коефіцієнти_розширеного_аналі'!$M$2:$M$49,MATCH($B77,'3_коефіцієнти_розширеного_аналі'!$C$2:$C$49,0)),IFERROR(INDEX('3_коефіцієнти_розширеного_аналі'!$M$2:$M$49,MATCH($B77,'3_коефіцієнти_розширеного_аналі'!$C$2:$C$49,0)),INDEX('2_Parameter_Scores'!$I$2:$I$34,MATCH($B77,'2_Parameter_Scores'!$B$2:$B$34,0))))),0)</f>
        <v>0.17804347826086953</v>
      </c>
      <c r="G77" s="113">
        <f>IFERROR(IF($C$70="ЕКСПРЕС",INDEX('2_Parameter_Scores'!$J$2:$J$34,MATCH($B77,'2_Parameter_Scores'!$B$2:$B$34,0)),IF($C$70="ПОВНЕ",INDEX('3_коефіцієнти_розширеного_аналі'!$N$2:$N$49,MATCH($B77,'3_коефіцієнти_розширеного_аналі'!$C$2:$C$49,0)),IFERROR(INDEX('3_коефіцієнти_розширеного_аналі'!$N$2:$N$49,MATCH($B77,'3_коефіцієнти_розширеного_аналі'!$C$2:$C$49,0)),INDEX('2_Parameter_Scores'!$J$2:$J$34,MATCH($B77,'2_Parameter_Scores'!$B$2:$B$34,0))))),0)</f>
        <v>0.31500000000000006</v>
      </c>
      <c r="H77" s="113">
        <f>IFERROR(IF($C$70="ЕКСПРЕС",INDEX('2_Parameter_Scores'!$K$2:$K$34,MATCH($B77,'2_Parameter_Scores'!$B$2:$B$34,0)),IF($C$70="ПОВНЕ",INDEX('3_коефіцієнти_розширеного_аналі'!$O$2:$O$49,MATCH($B77,'3_коефіцієнти_розширеного_аналі'!$C$2:$C$49,0)),IFERROR(INDEX('3_коефіцієнти_розширеного_аналі'!$O$2:$O$49,MATCH($B77,'3_коефіцієнти_розширеного_аналі'!$C$2:$C$49,0)),INDEX('2_Parameter_Scores'!$K$2:$K$34,MATCH($B77,'2_Parameter_Scores'!$B$2:$B$34,0))))),0)</f>
        <v>0.44956521739130434</v>
      </c>
      <c r="I77" s="113">
        <f>IFERROR(IF($C$70="ЕКСПРЕС",INDEX('2_Parameter_Scores'!$L$2:$L$34,MATCH($B77,'2_Parameter_Scores'!$B$2:$B$34,0)),IF($C$70="ПОВНЕ",INDEX('3_коефіцієнти_розширеного_аналі'!$P$2:$P$49,MATCH($B77,'3_коефіцієнти_розширеного_аналі'!$C$2:$C$49,0)),IFERROR(INDEX('3_коефіцієнти_розширеного_аналі'!$P$2:$P$49,MATCH($B77,'3_коефіцієнти_розширеного_аналі'!$C$2:$C$49,0)),INDEX('2_Parameter_Scores'!$L$2:$L$34,MATCH($B77,'2_Parameter_Scores'!$B$2:$B$34,0))))),0)</f>
        <v>0.73652173913043473</v>
      </c>
      <c r="J77" s="114">
        <f t="shared" si="0"/>
        <v>1</v>
      </c>
      <c r="K77" s="115">
        <f t="shared" si="1"/>
        <v>0.15</v>
      </c>
    </row>
    <row r="78" spans="1:15" ht="21.75" customHeight="1" x14ac:dyDescent="0.25">
      <c r="A78" s="109" t="s">
        <v>269</v>
      </c>
      <c r="B78" s="116" t="s">
        <v>392</v>
      </c>
      <c r="C78" s="111">
        <f>$C$34</f>
        <v>0.1</v>
      </c>
      <c r="D78" s="117" t="str">
        <f>IF($C$70="ЕКСПРЕС",IF(ISNUMBER(MATCH($B78,'2_Parameter_Scores'!$B$2:$B$34,0)),"Експрес (лист 2)","— немає"),IF($C$70="ПОВНЕ",IF(ISNUMBER(MATCH($B78,'3_коефіцієнти_розширеного_аналі'!$C$2:$C$49,0)),"Повне (лист 3)","— немає"),IF(ISNUMBER(MATCH($B78,'3_коефіцієнти_розширеного_аналі'!$C$2:$C$49,0)),"Повне (лист 3)",IF(ISNUMBER(MATCH($B78,'2_Parameter_Scores'!$B$2:$B$34,0)),"Експрес (лист 2)","— немає"))))</f>
        <v>Повне (лист 3)</v>
      </c>
      <c r="E78" s="113">
        <f>IFERROR(IF($C$70="ЕКСПРЕС",INDEX('2_Parameter_Scores'!$H$2:$H$34,MATCH($B78,'2_Parameter_Scores'!$B$2:$B$34,0)),IF($C$70="ПОВНЕ",INDEX('3_коефіцієнти_розширеного_аналі'!$L$2:$L$49,MATCH($B78,'3_коефіцієнти_розширеного_аналі'!$C$2:$C$49,0)),IFERROR(INDEX('3_коефіцієнти_розширеного_аналі'!$L$2:$L$49,MATCH($B78,'3_коефіцієнти_розширеного_аналі'!$C$2:$C$49,0)),INDEX('2_Parameter_Scores'!$H$2:$H$34,MATCH($B78,'2_Parameter_Scores'!$B$2:$B$34,0))))),0)</f>
        <v>0.16326923076923067</v>
      </c>
      <c r="F78" s="113">
        <f>IFERROR(IF($C$70="ЕКСПРЕС",INDEX('2_Parameter_Scores'!$I$2:$I$34,MATCH($B78,'2_Parameter_Scores'!$B$2:$B$34,0)),IF($C$70="ПОВНЕ",INDEX('3_коефіцієнти_розширеного_аналі'!$M$2:$M$49,MATCH($B78,'3_коефіцієнти_розширеного_аналі'!$C$2:$C$49,0)),IFERROR(INDEX('3_коефіцієнти_розширеного_аналі'!$M$2:$M$49,MATCH($B78,'3_коефіцієнти_розширеного_аналі'!$C$2:$C$49,0)),INDEX('2_Parameter_Scores'!$I$2:$I$34,MATCH($B78,'2_Parameter_Scores'!$B$2:$B$34,0))))),0)</f>
        <v>0.19519230769230766</v>
      </c>
      <c r="G78" s="113">
        <f>IFERROR(IF($C$70="ЕКСПРЕС",INDEX('2_Parameter_Scores'!$J$2:$J$34,MATCH($B78,'2_Parameter_Scores'!$B$2:$B$34,0)),IF($C$70="ПОВНЕ",INDEX('3_коефіцієнти_розширеного_аналі'!$N$2:$N$49,MATCH($B78,'3_коефіцієнти_розширеного_аналі'!$C$2:$C$49,0)),IFERROR(INDEX('3_коефіцієнти_розширеного_аналі'!$N$2:$N$49,MATCH($B78,'3_коефіцієнти_розширеного_аналі'!$C$2:$C$49,0)),INDEX('2_Parameter_Scores'!$J$2:$J$34,MATCH($B78,'2_Parameter_Scores'!$B$2:$B$34,0))))),0)</f>
        <v>0.51192307692307693</v>
      </c>
      <c r="H78" s="113">
        <f>IFERROR(IF($C$70="ЕКСПРЕС",INDEX('2_Parameter_Scores'!$K$2:$K$34,MATCH($B78,'2_Parameter_Scores'!$B$2:$B$34,0)),IF($C$70="ПОВНЕ",INDEX('3_коефіцієнти_розширеного_аналі'!$O$2:$O$49,MATCH($B78,'3_коефіцієнти_розширеного_аналі'!$C$2:$C$49,0)),IFERROR(INDEX('3_коефіцієнти_розширеного_аналі'!$O$2:$O$49,MATCH($B78,'3_коефіцієнти_розширеного_аналі'!$C$2:$C$49,0)),INDEX('2_Parameter_Scores'!$K$2:$K$34,MATCH($B78,'2_Parameter_Scores'!$B$2:$B$34,0))))),0)</f>
        <v>0.5590384615384616</v>
      </c>
      <c r="I78" s="113">
        <f>IFERROR(IF($C$70="ЕКСПРЕС",INDEX('2_Parameter_Scores'!$L$2:$L$34,MATCH($B78,'2_Parameter_Scores'!$B$2:$B$34,0)),IF($C$70="ПОВНЕ",INDEX('3_коефіцієнти_розширеного_аналі'!$P$2:$P$49,MATCH($B78,'3_коефіцієнти_розширеного_аналі'!$C$2:$C$49,0)),IFERROR(INDEX('3_коефіцієнти_розширеного_аналі'!$P$2:$P$49,MATCH($B78,'3_коефіцієнти_розширеного_аналі'!$C$2:$C$49,0)),INDEX('2_Parameter_Scores'!$L$2:$L$34,MATCH($B78,'2_Parameter_Scores'!$B$2:$B$34,0))))),0)</f>
        <v>0.74788461538461537</v>
      </c>
      <c r="J78" s="114">
        <f t="shared" si="0"/>
        <v>1</v>
      </c>
      <c r="K78" s="115">
        <f t="shared" si="1"/>
        <v>0.1</v>
      </c>
    </row>
    <row r="79" spans="1:15" ht="21.75" customHeight="1" x14ac:dyDescent="0.25">
      <c r="A79" s="109" t="s">
        <v>269</v>
      </c>
      <c r="B79" s="116" t="s">
        <v>395</v>
      </c>
      <c r="C79" s="111">
        <f>$C$35</f>
        <v>0.1</v>
      </c>
      <c r="D79" s="117" t="str">
        <f>IF($C$70="ЕКСПРЕС",IF(ISNUMBER(MATCH($B79,'2_Parameter_Scores'!$B$2:$B$34,0)),"Експрес (лист 2)","— немає"),IF($C$70="ПОВНЕ",IF(ISNUMBER(MATCH($B79,'3_коефіцієнти_розширеного_аналі'!$C$2:$C$49,0)),"Повне (лист 3)","— немає"),IF(ISNUMBER(MATCH($B79,'3_коефіцієнти_розширеного_аналі'!$C$2:$C$49,0)),"Повне (лист 3)",IF(ISNUMBER(MATCH($B79,'2_Parameter_Scores'!$B$2:$B$34,0)),"Експрес (лист 2)","— немає"))))</f>
        <v>Повне (лист 3)</v>
      </c>
      <c r="E79" s="113">
        <f>IFERROR(IF($C$70="ЕКСПРЕС",INDEX('2_Parameter_Scores'!$H$2:$H$34,MATCH($B79,'2_Parameter_Scores'!$B$2:$B$34,0)),IF($C$70="ПОВНЕ",INDEX('3_коефіцієнти_розширеного_аналі'!$L$2:$L$49,MATCH($B79,'3_коефіцієнти_розширеного_аналі'!$C$2:$C$49,0)),IFERROR(INDEX('3_коефіцієнти_розширеного_аналі'!$L$2:$L$49,MATCH($B79,'3_коефіцієнти_розширеного_аналі'!$C$2:$C$49,0)),INDEX('2_Parameter_Scores'!$H$2:$H$34,MATCH($B79,'2_Parameter_Scores'!$B$2:$B$34,0))))),0)</f>
        <v>0.19181818181818178</v>
      </c>
      <c r="F79" s="113">
        <f>IFERROR(IF($C$70="ЕКСПРЕС",INDEX('2_Parameter_Scores'!$I$2:$I$34,MATCH($B79,'2_Parameter_Scores'!$B$2:$B$34,0)),IF($C$70="ПОВНЕ",INDEX('3_коефіцієнти_розширеного_аналі'!$M$2:$M$49,MATCH($B79,'3_коефіцієнти_розширеного_аналі'!$C$2:$C$49,0)),IFERROR(INDEX('3_коефіцієнти_розширеного_аналі'!$M$2:$M$49,MATCH($B79,'3_коефіцієнти_розширеного_аналі'!$C$2:$C$49,0)),INDEX('2_Parameter_Scores'!$I$2:$I$34,MATCH($B79,'2_Parameter_Scores'!$B$2:$B$34,0))))),0)</f>
        <v>0.33</v>
      </c>
      <c r="G79" s="113">
        <f>IFERROR(IF($C$70="ЕКСПРЕС",INDEX('2_Parameter_Scores'!$J$2:$J$34,MATCH($B79,'2_Parameter_Scores'!$B$2:$B$34,0)),IF($C$70="ПОВНЕ",INDEX('3_коефіцієнти_розширеного_аналі'!$N$2:$N$49,MATCH($B79,'3_коефіцієнти_розширеного_аналі'!$C$2:$C$49,0)),IFERROR(INDEX('3_коефіцієнти_розширеного_аналі'!$N$2:$N$49,MATCH($B79,'3_коефіцієнти_розширеного_аналі'!$C$2:$C$49,0)),INDEX('2_Parameter_Scores'!$J$2:$J$34,MATCH($B79,'2_Parameter_Scores'!$B$2:$B$34,0))))),0)</f>
        <v>0.57151515151515153</v>
      </c>
      <c r="H79" s="113">
        <f>IFERROR(IF($C$70="ЕКСПРЕС",INDEX('2_Parameter_Scores'!$K$2:$K$34,MATCH($B79,'2_Parameter_Scores'!$B$2:$B$34,0)),IF($C$70="ПОВНЕ",INDEX('3_коефіцієнти_розширеного_аналі'!$O$2:$O$49,MATCH($B79,'3_коефіцієнти_розширеного_аналі'!$C$2:$C$49,0)),IFERROR(INDEX('3_коефіцієнти_розширеного_аналі'!$O$2:$O$49,MATCH($B79,'3_коефіцієнти_розширеного_аналі'!$C$2:$C$49,0)),INDEX('2_Parameter_Scores'!$K$2:$K$34,MATCH($B79,'2_Parameter_Scores'!$B$2:$B$34,0))))),0)</f>
        <v>0.82030303030303031</v>
      </c>
      <c r="I79" s="113">
        <f>IFERROR(IF($C$70="ЕКСПРЕС",INDEX('2_Parameter_Scores'!$L$2:$L$34,MATCH($B79,'2_Parameter_Scores'!$B$2:$B$34,0)),IF($C$70="ПОВНЕ",INDEX('3_коефіцієнти_розширеного_аналі'!$P$2:$P$49,MATCH($B79,'3_коефіцієнти_розширеного_аналі'!$C$2:$C$49,0)),IFERROR(INDEX('3_коефіцієнти_розширеного_аналі'!$P$2:$P$49,MATCH($B79,'3_коефіцієнти_розширеного_аналі'!$C$2:$C$49,0)),INDEX('2_Parameter_Scores'!$L$2:$L$34,MATCH($B79,'2_Parameter_Scores'!$B$2:$B$34,0))))),0)</f>
        <v>0.9624242424242424</v>
      </c>
      <c r="J79" s="114">
        <f t="shared" si="0"/>
        <v>1</v>
      </c>
      <c r="K79" s="115">
        <f t="shared" si="1"/>
        <v>0.1</v>
      </c>
    </row>
    <row r="80" spans="1:15" ht="21.75" customHeight="1" x14ac:dyDescent="0.25">
      <c r="A80" s="109" t="s">
        <v>269</v>
      </c>
      <c r="B80" s="116" t="s">
        <v>206</v>
      </c>
      <c r="C80" s="111">
        <f>$C$36</f>
        <v>0.1</v>
      </c>
      <c r="D80" s="117" t="str">
        <f>IF($C$70="ЕКСПРЕС",IF(ISNUMBER(MATCH($B80,'2_Parameter_Scores'!$B$2:$B$34,0)),"Експрес (лист 2)","— немає"),IF($C$70="ПОВНЕ",IF(ISNUMBER(MATCH($B80,'3_коефіцієнти_розширеного_аналі'!$C$2:$C$49,0)),"Повне (лист 3)","— немає"),IF(ISNUMBER(MATCH($B80,'3_коефіцієнти_розширеного_аналі'!$C$2:$C$49,0)),"Повне (лист 3)",IF(ISNUMBER(MATCH($B80,'2_Parameter_Scores'!$B$2:$B$34,0)),"Експрес (лист 2)","— немає"))))</f>
        <v>Повне (лист 3)</v>
      </c>
      <c r="E80" s="113">
        <f>IFERROR(IF($C$70="ЕКСПРЕС",INDEX('2_Parameter_Scores'!$H$2:$H$34,MATCH($B80,'2_Parameter_Scores'!$B$2:$B$34,0)),IF($C$70="ПОВНЕ",INDEX('3_коефіцієнти_розширеного_аналі'!$L$2:$L$49,MATCH($B80,'3_коефіцієнти_розширеного_аналі'!$C$2:$C$49,0)),IFERROR(INDEX('3_коефіцієнти_розширеного_аналі'!$L$2:$L$49,MATCH($B80,'3_коефіцієнти_розширеного_аналі'!$C$2:$C$49,0)),INDEX('2_Parameter_Scores'!$H$2:$H$34,MATCH($B80,'2_Parameter_Scores'!$B$2:$B$34,0))))),0)</f>
        <v>5.8301886792452892E-2</v>
      </c>
      <c r="F80" s="113">
        <f>IFERROR(IF($C$70="ЕКСПРЕС",INDEX('2_Parameter_Scores'!$I$2:$I$34,MATCH($B80,'2_Parameter_Scores'!$B$2:$B$34,0)),IF($C$70="ПОВНЕ",INDEX('3_коефіцієнти_розширеного_аналі'!$M$2:$M$49,MATCH($B80,'3_коефіцієнти_розширеного_аналі'!$C$2:$C$49,0)),IFERROR(INDEX('3_коефіцієнти_розширеного_аналі'!$M$2:$M$49,MATCH($B80,'3_коефіцієнти_розширеного_аналі'!$C$2:$C$49,0)),INDEX('2_Parameter_Scores'!$I$2:$I$34,MATCH($B80,'2_Parameter_Scores'!$B$2:$B$34,0))))),0)</f>
        <v>0.23037735849056606</v>
      </c>
      <c r="G80" s="113">
        <f>IFERROR(IF($C$70="ЕКСПРЕС",INDEX('2_Parameter_Scores'!$J$2:$J$34,MATCH($B80,'2_Parameter_Scores'!$B$2:$B$34,0)),IF($C$70="ПОВНЕ",INDEX('3_коефіцієнти_розширеного_аналі'!$N$2:$N$49,MATCH($B80,'3_коефіцієнти_розширеного_аналі'!$C$2:$C$49,0)),IFERROR(INDEX('3_коефіцієнти_розширеного_аналі'!$N$2:$N$49,MATCH($B80,'3_коефіцієнти_розширеного_аналі'!$C$2:$C$49,0)),INDEX('2_Parameter_Scores'!$J$2:$J$34,MATCH($B80,'2_Parameter_Scores'!$B$2:$B$34,0))))),0)</f>
        <v>0.3175471698113207</v>
      </c>
      <c r="H80" s="113">
        <f>IFERROR(IF($C$70="ЕКСПРЕС",INDEX('2_Parameter_Scores'!$K$2:$K$34,MATCH($B80,'2_Parameter_Scores'!$B$2:$B$34,0)),IF($C$70="ПОВНЕ",INDEX('3_коефіцієнти_розширеного_аналі'!$O$2:$O$49,MATCH($B80,'3_коефіцієнти_розширеного_аналі'!$C$2:$C$49,0)),IFERROR(INDEX('3_коефіцієнти_розширеного_аналі'!$O$2:$O$49,MATCH($B80,'3_коефіцієнти_розширеного_аналі'!$C$2:$C$49,0)),INDEX('2_Parameter_Scores'!$K$2:$K$34,MATCH($B80,'2_Parameter_Scores'!$B$2:$B$34,0))))),0)</f>
        <v>0.56396226415094342</v>
      </c>
      <c r="I80" s="113">
        <f>IFERROR(IF($C$70="ЕКСПРЕС",INDEX('2_Parameter_Scores'!$L$2:$L$34,MATCH($B80,'2_Parameter_Scores'!$B$2:$B$34,0)),IF($C$70="ПОВНЕ",INDEX('3_коефіцієнти_розширеного_аналі'!$P$2:$P$49,MATCH($B80,'3_коефіцієнти_розширеного_аналі'!$C$2:$C$49,0)),IFERROR(INDEX('3_коефіцієнти_розширеного_аналі'!$P$2:$P$49,MATCH($B80,'3_коефіцієнти_розширеного_аналі'!$C$2:$C$49,0)),INDEX('2_Parameter_Scores'!$L$2:$L$34,MATCH($B80,'2_Parameter_Scores'!$B$2:$B$34,0))))),0)</f>
        <v>0.83641509433962258</v>
      </c>
      <c r="J80" s="114">
        <f t="shared" si="0"/>
        <v>1</v>
      </c>
      <c r="K80" s="115">
        <f t="shared" si="1"/>
        <v>0.1</v>
      </c>
    </row>
    <row r="81" spans="1:11" ht="21.75" customHeight="1" x14ac:dyDescent="0.25">
      <c r="A81" s="109" t="s">
        <v>269</v>
      </c>
      <c r="B81" s="116" t="s">
        <v>205</v>
      </c>
      <c r="C81" s="111">
        <f>$C$37</f>
        <v>0.05</v>
      </c>
      <c r="D81" s="117" t="str">
        <f>IF($C$70="ЕКСПРЕС",IF(ISNUMBER(MATCH($B81,'2_Parameter_Scores'!$B$2:$B$34,0)),"Експрес (лист 2)","— немає"),IF($C$70="ПОВНЕ",IF(ISNUMBER(MATCH($B81,'3_коефіцієнти_розширеного_аналі'!$C$2:$C$49,0)),"Повне (лист 3)","— немає"),IF(ISNUMBER(MATCH($B81,'3_коефіцієнти_розширеного_аналі'!$C$2:$C$49,0)),"Повне (лист 3)",IF(ISNUMBER(MATCH($B81,'2_Parameter_Scores'!$B$2:$B$34,0)),"Експрес (лист 2)","— немає"))))</f>
        <v>Повне (лист 3)</v>
      </c>
      <c r="E81" s="113">
        <f>IFERROR(IF($C$70="ЕКСПРЕС",INDEX('2_Parameter_Scores'!$H$2:$H$34,MATCH($B81,'2_Parameter_Scores'!$B$2:$B$34,0)),IF($C$70="ПОВНЕ",INDEX('3_коефіцієнти_розширеного_аналі'!$L$2:$L$49,MATCH($B81,'3_коефіцієнти_розширеного_аналі'!$C$2:$C$49,0)),IFERROR(INDEX('3_коефіцієнти_розширеного_аналі'!$L$2:$L$49,MATCH($B81,'3_коефіцієнти_розширеного_аналі'!$C$2:$C$49,0)),INDEX('2_Parameter_Scores'!$H$2:$H$34,MATCH($B81,'2_Parameter_Scores'!$B$2:$B$34,0))))),0)</f>
        <v>0.23948717948717957</v>
      </c>
      <c r="F81" s="113">
        <f>IFERROR(IF($C$70="ЕКСПРЕС",INDEX('2_Parameter_Scores'!$I$2:$I$34,MATCH($B81,'2_Parameter_Scores'!$B$2:$B$34,0)),IF($C$70="ПОВНЕ",INDEX('3_коефіцієнти_розширеного_аналі'!$M$2:$M$49,MATCH($B81,'3_коефіцієнти_розширеного_аналі'!$C$2:$C$49,0)),IFERROR(INDEX('3_коефіцієнти_розширеного_аналі'!$M$2:$M$49,MATCH($B81,'3_коефіцієнти_розширеного_аналі'!$C$2:$C$49,0)),INDEX('2_Parameter_Scores'!$I$2:$I$34,MATCH($B81,'2_Parameter_Scores'!$B$2:$B$34,0))))),0)</f>
        <v>0.42999999999999988</v>
      </c>
      <c r="G81" s="113">
        <f>IFERROR(IF($C$70="ЕКСПРЕС",INDEX('2_Parameter_Scores'!$J$2:$J$34,MATCH($B81,'2_Parameter_Scores'!$B$2:$B$34,0)),IF($C$70="ПОВНЕ",INDEX('3_коефіцієнти_розширеного_аналі'!$N$2:$N$49,MATCH($B81,'3_коефіцієнти_розширеного_аналі'!$C$2:$C$49,0)),IFERROR(INDEX('3_коефіцієнти_розширеного_аналі'!$N$2:$N$49,MATCH($B81,'3_коефіцієнти_розширеного_аналі'!$C$2:$C$49,0)),INDEX('2_Parameter_Scores'!$J$2:$J$34,MATCH($B81,'2_Parameter_Scores'!$B$2:$B$34,0))))),0)</f>
        <v>0.63153846153846138</v>
      </c>
      <c r="H81" s="113">
        <f>IFERROR(IF($C$70="ЕКСПРЕС",INDEX('2_Parameter_Scores'!$K$2:$K$34,MATCH($B81,'2_Parameter_Scores'!$B$2:$B$34,0)),IF($C$70="ПОВНЕ",INDEX('3_коефіцієнти_розширеного_аналі'!$O$2:$O$49,MATCH($B81,'3_коефіцієнти_розширеного_аналі'!$C$2:$C$49,0)),IFERROR(INDEX('3_коефіцієнти_розширеного_аналі'!$O$2:$O$49,MATCH($B81,'3_коефіцієнти_розширеного_аналі'!$C$2:$C$49,0)),INDEX('2_Parameter_Scores'!$K$2:$K$34,MATCH($B81,'2_Parameter_Scores'!$B$2:$B$34,0))))),0)</f>
        <v>0.82461538461538453</v>
      </c>
      <c r="I81" s="113">
        <f>IFERROR(IF($C$70="ЕКСПРЕС",INDEX('2_Parameter_Scores'!$L$2:$L$34,MATCH($B81,'2_Parameter_Scores'!$B$2:$B$34,0)),IF($C$70="ПОВНЕ",INDEX('3_коефіцієнти_розширеного_аналі'!$P$2:$P$49,MATCH($B81,'3_коефіцієнти_розширеного_аналі'!$C$2:$C$49,0)),IFERROR(INDEX('3_коефіцієнти_розширеного_аналі'!$P$2:$P$49,MATCH($B81,'3_коефіцієнти_розширеного_аналі'!$C$2:$C$49,0)),INDEX('2_Parameter_Scores'!$L$2:$L$34,MATCH($B81,'2_Parameter_Scores'!$B$2:$B$34,0))))),0)</f>
        <v>0.81974358974358974</v>
      </c>
      <c r="J81" s="114">
        <f t="shared" si="0"/>
        <v>1</v>
      </c>
      <c r="K81" s="115">
        <f t="shared" si="1"/>
        <v>0.05</v>
      </c>
    </row>
    <row r="82" spans="1:11" ht="21.75" customHeight="1" x14ac:dyDescent="0.25">
      <c r="B82" s="118" t="s">
        <v>837</v>
      </c>
      <c r="C82" s="119">
        <f>SUMPRODUCT($C$74:$C$81,$J$74:$J$81)/SUM($C$74:$C$81)</f>
        <v>1</v>
      </c>
      <c r="D82" s="120" t="str">
        <f>COUNTIF($J$74:$J$81,1)&amp;" з "&amp;8&amp;" компонентів"</f>
        <v>8 з 8 компонентів</v>
      </c>
      <c r="K82" s="121">
        <f>SUM($K$74:$K$81)</f>
        <v>1</v>
      </c>
    </row>
    <row r="83" spans="1:11" ht="21.75" customHeight="1" x14ac:dyDescent="0.25">
      <c r="A83" s="122" t="s">
        <v>278</v>
      </c>
      <c r="B83" s="123" t="s">
        <v>200</v>
      </c>
      <c r="C83" s="124">
        <f>$E$41</f>
        <v>0.15</v>
      </c>
      <c r="D83" s="125" t="str">
        <f>IF($C$70="ЕКСПРЕС",IF(ISNUMBER(MATCH($B83,'2_Parameter_Scores'!$B$2:$B$34,0)),"Експрес (лист 2)","— немає"),IF($C$70="ПОВНЕ",IF(ISNUMBER(MATCH($B83,'3_коефіцієнти_розширеного_аналі'!$C$2:$C$49,0)),"Повне (лист 3)","— немає"),IF(ISNUMBER(MATCH($B83,'3_коефіцієнти_розширеного_аналі'!$C$2:$C$49,0)),"Повне (лист 3)",IF(ISNUMBER(MATCH($B83,'2_Parameter_Scores'!$B$2:$B$34,0)),"Експрес (лист 2)","— немає"))))</f>
        <v>Повне (лист 3)</v>
      </c>
      <c r="E83" s="126">
        <f>IFERROR(IF($C$70="ЕКСПРЕС",INDEX('2_Parameter_Scores'!$H$2:$H$34,MATCH($B83,'2_Parameter_Scores'!$B$2:$B$34,0)),IF($C$70="ПОВНЕ",INDEX('3_коефіцієнти_розширеного_аналі'!$L$2:$L$49,MATCH($B83,'3_коефіцієнти_розширеного_аналі'!$C$2:$C$49,0)),IFERROR(INDEX('3_коефіцієнти_розширеного_аналі'!$L$2:$L$49,MATCH($B83,'3_коефіцієнти_розширеного_аналі'!$C$2:$C$49,0)),INDEX('2_Parameter_Scores'!$H$2:$H$34,MATCH($B83,'2_Parameter_Scores'!$B$2:$B$34,0))))),0)</f>
        <v>2.1999999999999888E-2</v>
      </c>
      <c r="F83" s="126">
        <f>IFERROR(IF($C$70="ЕКСПРЕС",INDEX('2_Parameter_Scores'!$I$2:$I$34,MATCH($B83,'2_Parameter_Scores'!$B$2:$B$34,0)),IF($C$70="ПОВНЕ",INDEX('3_коефіцієнти_розширеного_аналі'!$M$2:$M$49,MATCH($B83,'3_коефіцієнти_розширеного_аналі'!$C$2:$C$49,0)),IFERROR(INDEX('3_коефіцієнти_розширеного_аналі'!$M$2:$M$49,MATCH($B83,'3_коефіцієнти_розширеного_аналі'!$C$2:$C$49,0)),INDEX('2_Parameter_Scores'!$I$2:$I$34,MATCH($B83,'2_Parameter_Scores'!$B$2:$B$34,0))))),0)</f>
        <v>0.32514285714285701</v>
      </c>
      <c r="G83" s="126">
        <f>IFERROR(IF($C$70="ЕКСПРЕС",INDEX('2_Parameter_Scores'!$J$2:$J$34,MATCH($B83,'2_Parameter_Scores'!$B$2:$B$34,0)),IF($C$70="ПОВНЕ",INDEX('3_коефіцієнти_розширеного_аналі'!$N$2:$N$49,MATCH($B83,'3_коефіцієнти_розширеного_аналі'!$C$2:$C$49,0)),IFERROR(INDEX('3_коефіцієнти_розширеного_аналі'!$N$2:$N$49,MATCH($B83,'3_коефіцієнти_розширеного_аналі'!$C$2:$C$49,0)),INDEX('2_Parameter_Scores'!$J$2:$J$34,MATCH($B83,'2_Parameter_Scores'!$B$2:$B$34,0))))),0)</f>
        <v>0.3845714285714284</v>
      </c>
      <c r="H83" s="126">
        <f>IFERROR(IF($C$70="ЕКСПРЕС",INDEX('2_Parameter_Scores'!$K$2:$K$34,MATCH($B83,'2_Parameter_Scores'!$B$2:$B$34,0)),IF($C$70="ПОВНЕ",INDEX('3_коефіцієнти_розширеного_аналі'!$O$2:$O$49,MATCH($B83,'3_коефіцієнти_розширеного_аналі'!$C$2:$C$49,0)),IFERROR(INDEX('3_коефіцієнти_розширеного_аналі'!$O$2:$O$49,MATCH($B83,'3_коефіцієнти_розширеного_аналі'!$C$2:$C$49,0)),INDEX('2_Parameter_Scores'!$K$2:$K$34,MATCH($B83,'2_Parameter_Scores'!$B$2:$B$34,0))))),0)</f>
        <v>0.50800000000000001</v>
      </c>
      <c r="I83" s="126">
        <f>IFERROR(IF($C$70="ЕКСПРЕС",INDEX('2_Parameter_Scores'!$L$2:$L$34,MATCH($B83,'2_Parameter_Scores'!$B$2:$B$34,0)),IF($C$70="ПОВНЕ",INDEX('3_коефіцієнти_розширеного_аналі'!$P$2:$P$49,MATCH($B83,'3_коефіцієнти_розширеного_аналі'!$C$2:$C$49,0)),IFERROR(INDEX('3_коефіцієнти_розширеного_аналі'!$P$2:$P$49,MATCH($B83,'3_коефіцієнти_розширеного_аналі'!$C$2:$C$49,0)),INDEX('2_Parameter_Scores'!$L$2:$L$34,MATCH($B83,'2_Parameter_Scores'!$B$2:$B$34,0))))),0)</f>
        <v>0.69342857142857128</v>
      </c>
      <c r="J83" s="127">
        <f t="shared" ref="J83:J88" si="2">IF(LEFT($D83,1)="—",0,1)</f>
        <v>1</v>
      </c>
      <c r="K83" s="128">
        <f t="shared" ref="K83:K88" si="3">IF($J83=0,0,$C83/SUMPRODUCT($C$83:$C$88,$J$83:$J$88))</f>
        <v>0.14999999999999997</v>
      </c>
    </row>
    <row r="84" spans="1:11" ht="21.75" customHeight="1" x14ac:dyDescent="0.25">
      <c r="A84" s="122" t="s">
        <v>278</v>
      </c>
      <c r="B84" s="123" t="s">
        <v>201</v>
      </c>
      <c r="C84" s="124">
        <f>$E$42</f>
        <v>0.25</v>
      </c>
      <c r="D84" s="125" t="str">
        <f>IF($C$70="ЕКСПРЕС",IF(ISNUMBER(MATCH($B84,'2_Parameter_Scores'!$B$2:$B$34,0)),"Експрес (лист 2)","— немає"),IF($C$70="ПОВНЕ",IF(ISNUMBER(MATCH($B84,'3_коефіцієнти_розширеного_аналі'!$C$2:$C$49,0)),"Повне (лист 3)","— немає"),IF(ISNUMBER(MATCH($B84,'3_коефіцієнти_розширеного_аналі'!$C$2:$C$49,0)),"Повне (лист 3)",IF(ISNUMBER(MATCH($B84,'2_Parameter_Scores'!$B$2:$B$34,0)),"Експрес (лист 2)","— немає"))))</f>
        <v>Повне (лист 3)</v>
      </c>
      <c r="E84" s="126">
        <f>IFERROR(IF($C$70="ЕКСПРЕС",INDEX('2_Parameter_Scores'!$H$2:$H$34,MATCH($B84,'2_Parameter_Scores'!$B$2:$B$34,0)),IF($C$70="ПОВНЕ",INDEX('3_коефіцієнти_розширеного_аналі'!$L$2:$L$49,MATCH($B84,'3_коефіцієнти_розширеного_аналі'!$C$2:$C$49,0)),IFERROR(INDEX('3_коефіцієнти_розширеного_аналі'!$L$2:$L$49,MATCH($B84,'3_коефіцієнти_розширеного_аналі'!$C$2:$C$49,0)),INDEX('2_Parameter_Scores'!$H$2:$H$34,MATCH($B84,'2_Parameter_Scores'!$B$2:$B$34,0))))),0)</f>
        <v>7.2727272727272904E-2</v>
      </c>
      <c r="F84" s="126">
        <f>IFERROR(IF($C$70="ЕКСПРЕС",INDEX('2_Parameter_Scores'!$I$2:$I$34,MATCH($B84,'2_Parameter_Scores'!$B$2:$B$34,0)),IF($C$70="ПОВНЕ",INDEX('3_коефіцієнти_розширеного_аналі'!$M$2:$M$49,MATCH($B84,'3_коефіцієнти_розширеного_аналі'!$C$2:$C$49,0)),IFERROR(INDEX('3_коефіцієнти_розширеного_аналі'!$M$2:$M$49,MATCH($B84,'3_коефіцієнти_розширеного_аналі'!$C$2:$C$49,0)),INDEX('2_Parameter_Scores'!$I$2:$I$34,MATCH($B84,'2_Parameter_Scores'!$B$2:$B$34,0))))),0)</f>
        <v>0.19727272727272743</v>
      </c>
      <c r="G84" s="126">
        <f>IFERROR(IF($C$70="ЕКСПРЕС",INDEX('2_Parameter_Scores'!$J$2:$J$34,MATCH($B84,'2_Parameter_Scores'!$B$2:$B$34,0)),IF($C$70="ПОВНЕ",INDEX('3_коефіцієнти_розширеного_аналі'!$N$2:$N$49,MATCH($B84,'3_коефіцієнти_розширеного_аналі'!$C$2:$C$49,0)),IFERROR(INDEX('3_коефіцієнти_розширеного_аналі'!$N$2:$N$49,MATCH($B84,'3_коефіцієнти_розширеного_аналі'!$C$2:$C$49,0)),INDEX('2_Parameter_Scores'!$J$2:$J$34,MATCH($B84,'2_Parameter_Scores'!$B$2:$B$34,0))))),0)</f>
        <v>0.47333333333333349</v>
      </c>
      <c r="H84" s="126">
        <f>IFERROR(IF($C$70="ЕКСПРЕС",INDEX('2_Parameter_Scores'!$K$2:$K$34,MATCH($B84,'2_Parameter_Scores'!$B$2:$B$34,0)),IF($C$70="ПОВНЕ",INDEX('3_коефіцієнти_розширеного_аналі'!$O$2:$O$49,MATCH($B84,'3_коефіцієнти_розширеного_аналі'!$C$2:$C$49,0)),IFERROR(INDEX('3_коефіцієнти_розширеного_аналі'!$O$2:$O$49,MATCH($B84,'3_коефіцієнти_розширеного_аналі'!$C$2:$C$49,0)),INDEX('2_Parameter_Scores'!$K$2:$K$34,MATCH($B84,'2_Parameter_Scores'!$B$2:$B$34,0))))),0)</f>
        <v>0.66727272727272713</v>
      </c>
      <c r="I84" s="126">
        <f>IFERROR(IF($C$70="ЕКСПРЕС",INDEX('2_Parameter_Scores'!$L$2:$L$34,MATCH($B84,'2_Parameter_Scores'!$B$2:$B$34,0)),IF($C$70="ПОВНЕ",INDEX('3_коефіцієнти_розширеного_аналі'!$P$2:$P$49,MATCH($B84,'3_коефіцієнти_розширеного_аналі'!$C$2:$C$49,0)),IFERROR(INDEX('3_коефіцієнти_розширеного_аналі'!$P$2:$P$49,MATCH($B84,'3_коефіцієнти_розширеного_аналі'!$C$2:$C$49,0)),INDEX('2_Parameter_Scores'!$L$2:$L$34,MATCH($B84,'2_Parameter_Scores'!$B$2:$B$34,0))))),0)</f>
        <v>0.82484848484848483</v>
      </c>
      <c r="J84" s="127">
        <f t="shared" si="2"/>
        <v>1</v>
      </c>
      <c r="K84" s="128">
        <f t="shared" si="3"/>
        <v>0.24999999999999994</v>
      </c>
    </row>
    <row r="85" spans="1:11" ht="21.75" customHeight="1" x14ac:dyDescent="0.25">
      <c r="A85" s="122" t="s">
        <v>278</v>
      </c>
      <c r="B85" s="123" t="s">
        <v>202</v>
      </c>
      <c r="C85" s="124">
        <f>$E$43</f>
        <v>0.15</v>
      </c>
      <c r="D85" s="125" t="str">
        <f>IF($C$70="ЕКСПРЕС",IF(ISNUMBER(MATCH($B85,'2_Parameter_Scores'!$B$2:$B$34,0)),"Експрес (лист 2)","— немає"),IF($C$70="ПОВНЕ",IF(ISNUMBER(MATCH($B85,'3_коефіцієнти_розширеного_аналі'!$C$2:$C$49,0)),"Повне (лист 3)","— немає"),IF(ISNUMBER(MATCH($B85,'3_коефіцієнти_розширеного_аналі'!$C$2:$C$49,0)),"Повне (лист 3)",IF(ISNUMBER(MATCH($B85,'2_Parameter_Scores'!$B$2:$B$34,0)),"Експрес (лист 2)","— немає"))))</f>
        <v>Повне (лист 3)</v>
      </c>
      <c r="E85" s="126">
        <f>IFERROR(IF($C$70="ЕКСПРЕС",INDEX('2_Parameter_Scores'!$H$2:$H$34,MATCH($B85,'2_Parameter_Scores'!$B$2:$B$34,0)),IF($C$70="ПОВНЕ",INDEX('3_коефіцієнти_розширеного_аналі'!$L$2:$L$49,MATCH($B85,'3_коефіцієнти_розширеного_аналі'!$C$2:$C$49,0)),IFERROR(INDEX('3_коефіцієнти_розширеного_аналі'!$L$2:$L$49,MATCH($B85,'3_коефіцієнти_розширеного_аналі'!$C$2:$C$49,0)),INDEX('2_Parameter_Scores'!$H$2:$H$34,MATCH($B85,'2_Parameter_Scores'!$B$2:$B$34,0))))),0)</f>
        <v>0.18371428571428572</v>
      </c>
      <c r="F85" s="126">
        <f>IFERROR(IF($C$70="ЕКСПРЕС",INDEX('2_Parameter_Scores'!$I$2:$I$34,MATCH($B85,'2_Parameter_Scores'!$B$2:$B$34,0)),IF($C$70="ПОВНЕ",INDEX('3_коефіцієнти_розширеного_аналі'!$M$2:$M$49,MATCH($B85,'3_коефіцієнти_розширеного_аналі'!$C$2:$C$49,0)),IFERROR(INDEX('3_коефіцієнти_розширеного_аналі'!$M$2:$M$49,MATCH($B85,'3_коефіцієнти_розширеного_аналі'!$C$2:$C$49,0)),INDEX('2_Parameter_Scores'!$I$2:$I$34,MATCH($B85,'2_Parameter_Scores'!$B$2:$B$34,0))))),0)</f>
        <v>0.40028571428571424</v>
      </c>
      <c r="G85" s="126">
        <f>IFERROR(IF($C$70="ЕКСПРЕС",INDEX('2_Parameter_Scores'!$J$2:$J$34,MATCH($B85,'2_Parameter_Scores'!$B$2:$B$34,0)),IF($C$70="ПОВНЕ",INDEX('3_коефіцієнти_розширеного_аналі'!$N$2:$N$49,MATCH($B85,'3_коефіцієнти_розширеного_аналі'!$C$2:$C$49,0)),IFERROR(INDEX('3_коефіцієнти_розширеного_аналі'!$N$2:$N$49,MATCH($B85,'3_коефіцієнти_розширеного_аналі'!$C$2:$C$49,0)),INDEX('2_Parameter_Scores'!$J$2:$J$34,MATCH($B85,'2_Parameter_Scores'!$B$2:$B$34,0))))),0)</f>
        <v>0.37714285714285722</v>
      </c>
      <c r="H85" s="126">
        <f>IFERROR(IF($C$70="ЕКСПРЕС",INDEX('2_Parameter_Scores'!$K$2:$K$34,MATCH($B85,'2_Parameter_Scores'!$B$2:$B$34,0)),IF($C$70="ПОВНЕ",INDEX('3_коефіцієнти_розширеного_аналі'!$O$2:$O$49,MATCH($B85,'3_коефіцієнти_розширеного_аналі'!$C$2:$C$49,0)),IFERROR(INDEX('3_коефіцієнти_розширеного_аналі'!$O$2:$O$49,MATCH($B85,'3_коефіцієнти_розширеного_аналі'!$C$2:$C$49,0)),INDEX('2_Parameter_Scores'!$K$2:$K$34,MATCH($B85,'2_Parameter_Scores'!$B$2:$B$34,0))))),0)</f>
        <v>0.63971428571428568</v>
      </c>
      <c r="I85" s="126">
        <f>IFERROR(IF($C$70="ЕКСПРЕС",INDEX('2_Parameter_Scores'!$L$2:$L$34,MATCH($B85,'2_Parameter_Scores'!$B$2:$B$34,0)),IF($C$70="ПОВНЕ",INDEX('3_коефіцієнти_розширеного_аналі'!$P$2:$P$49,MATCH($B85,'3_коефіцієнти_розширеного_аналі'!$C$2:$C$49,0)),IFERROR(INDEX('3_коефіцієнти_розширеного_аналі'!$P$2:$P$49,MATCH($B85,'3_коефіцієнти_розширеного_аналі'!$C$2:$C$49,0)),INDEX('2_Parameter_Scores'!$L$2:$L$34,MATCH($B85,'2_Parameter_Scores'!$B$2:$B$34,0))))),0)</f>
        <v>0.76657142857142857</v>
      </c>
      <c r="J85" s="127">
        <f t="shared" si="2"/>
        <v>1</v>
      </c>
      <c r="K85" s="128">
        <f t="shared" si="3"/>
        <v>0.14999999999999997</v>
      </c>
    </row>
    <row r="86" spans="1:11" ht="21.75" customHeight="1" x14ac:dyDescent="0.25">
      <c r="A86" s="122" t="s">
        <v>278</v>
      </c>
      <c r="B86" s="123" t="s">
        <v>203</v>
      </c>
      <c r="C86" s="124">
        <f>$E$44</f>
        <v>0.15</v>
      </c>
      <c r="D86" s="125" t="str">
        <f>IF($C$70="ЕКСПРЕС",IF(ISNUMBER(MATCH($B86,'2_Parameter_Scores'!$B$2:$B$34,0)),"Експрес (лист 2)","— немає"),IF($C$70="ПОВНЕ",IF(ISNUMBER(MATCH($B86,'3_коефіцієнти_розширеного_аналі'!$C$2:$C$49,0)),"Повне (лист 3)","— немає"),IF(ISNUMBER(MATCH($B86,'3_коефіцієнти_розширеного_аналі'!$C$2:$C$49,0)),"Повне (лист 3)",IF(ISNUMBER(MATCH($B86,'2_Parameter_Scores'!$B$2:$B$34,0)),"Експрес (лист 2)","— немає"))))</f>
        <v>Повне (лист 3)</v>
      </c>
      <c r="E86" s="126">
        <f>IFERROR(IF($C$70="ЕКСПРЕС",INDEX('2_Parameter_Scores'!$H$2:$H$34,MATCH($B86,'2_Parameter_Scores'!$B$2:$B$34,0)),IF($C$70="ПОВНЕ",INDEX('3_коефіцієнти_розширеного_аналі'!$L$2:$L$49,MATCH($B86,'3_коефіцієнти_розширеного_аналі'!$C$2:$C$49,0)),IFERROR(INDEX('3_коефіцієнти_розширеного_аналі'!$L$2:$L$49,MATCH($B86,'3_коефіцієнти_розширеного_аналі'!$C$2:$C$49,0)),INDEX('2_Parameter_Scores'!$H$2:$H$34,MATCH($B86,'2_Parameter_Scores'!$B$2:$B$34,0))))),0)</f>
        <v>9.0000000000000066E-2</v>
      </c>
      <c r="F86" s="126">
        <f>IFERROR(IF($C$70="ЕКСПРЕС",INDEX('2_Parameter_Scores'!$I$2:$I$34,MATCH($B86,'2_Parameter_Scores'!$B$2:$B$34,0)),IF($C$70="ПОВНЕ",INDEX('3_коефіцієнти_розширеного_аналі'!$M$2:$M$49,MATCH($B86,'3_коефіцієнти_розширеного_аналі'!$C$2:$C$49,0)),IFERROR(INDEX('3_коефіцієнти_розширеного_аналі'!$M$2:$M$49,MATCH($B86,'3_коефіцієнти_розширеного_аналі'!$C$2:$C$49,0)),INDEX('2_Parameter_Scores'!$I$2:$I$34,MATCH($B86,'2_Parameter_Scores'!$B$2:$B$34,0))))),0)</f>
        <v>0.22617647058823523</v>
      </c>
      <c r="G86" s="126">
        <f>IFERROR(IF($C$70="ЕКСПРЕС",INDEX('2_Parameter_Scores'!$J$2:$J$34,MATCH($B86,'2_Parameter_Scores'!$B$2:$B$34,0)),IF($C$70="ПОВНЕ",INDEX('3_коефіцієнти_розширеного_аналі'!$N$2:$N$49,MATCH($B86,'3_коефіцієнти_розширеного_аналі'!$C$2:$C$49,0)),IFERROR(INDEX('3_коефіцієнти_розширеного_аналі'!$N$2:$N$49,MATCH($B86,'3_коефіцієнти_розширеного_аналі'!$C$2:$C$49,0)),INDEX('2_Parameter_Scores'!$J$2:$J$34,MATCH($B86,'2_Parameter_Scores'!$B$2:$B$34,0))))),0)</f>
        <v>0.48852941176470588</v>
      </c>
      <c r="H86" s="126">
        <f>IFERROR(IF($C$70="ЕКСПРЕС",INDEX('2_Parameter_Scores'!$K$2:$K$34,MATCH($B86,'2_Parameter_Scores'!$B$2:$B$34,0)),IF($C$70="ПОВНЕ",INDEX('3_коефіцієнти_розширеного_аналі'!$O$2:$O$49,MATCH($B86,'3_коефіцієнти_розширеного_аналі'!$C$2:$C$49,0)),IFERROR(INDEX('3_коефіцієнти_розширеного_аналі'!$O$2:$O$49,MATCH($B86,'3_коефіцієнти_розширеного_аналі'!$C$2:$C$49,0)),INDEX('2_Parameter_Scores'!$K$2:$K$34,MATCH($B86,'2_Parameter_Scores'!$B$2:$B$34,0))))),0)</f>
        <v>0.68264705882352927</v>
      </c>
      <c r="I86" s="126">
        <f>IFERROR(IF($C$70="ЕКСПРЕС",INDEX('2_Parameter_Scores'!$L$2:$L$34,MATCH($B86,'2_Parameter_Scores'!$B$2:$B$34,0)),IF($C$70="ПОВНЕ",INDEX('3_коефіцієнти_розширеного_аналі'!$P$2:$P$49,MATCH($B86,'3_коефіцієнти_розширеного_аналі'!$C$2:$C$49,0)),IFERROR(INDEX('3_коефіцієнти_розширеного_аналі'!$P$2:$P$49,MATCH($B86,'3_коефіцієнти_розширеного_аналі'!$C$2:$C$49,0)),INDEX('2_Parameter_Scores'!$L$2:$L$34,MATCH($B86,'2_Parameter_Scores'!$B$2:$B$34,0))))),0)</f>
        <v>0.79852941176470604</v>
      </c>
      <c r="J86" s="127">
        <f t="shared" si="2"/>
        <v>1</v>
      </c>
      <c r="K86" s="128">
        <f t="shared" si="3"/>
        <v>0.14999999999999997</v>
      </c>
    </row>
    <row r="87" spans="1:11" ht="21.75" customHeight="1" x14ac:dyDescent="0.25">
      <c r="A87" s="122" t="s">
        <v>278</v>
      </c>
      <c r="B87" s="123" t="s">
        <v>205</v>
      </c>
      <c r="C87" s="124">
        <f>$E$45</f>
        <v>0.2</v>
      </c>
      <c r="D87" s="125" t="str">
        <f>IF($C$70="ЕКСПРЕС",IF(ISNUMBER(MATCH($B87,'2_Parameter_Scores'!$B$2:$B$34,0)),"Експрес (лист 2)","— немає"),IF($C$70="ПОВНЕ",IF(ISNUMBER(MATCH($B87,'3_коефіцієнти_розширеного_аналі'!$C$2:$C$49,0)),"Повне (лист 3)","— немає"),IF(ISNUMBER(MATCH($B87,'3_коефіцієнти_розширеного_аналі'!$C$2:$C$49,0)),"Повне (лист 3)",IF(ISNUMBER(MATCH($B87,'2_Parameter_Scores'!$B$2:$B$34,0)),"Експрес (лист 2)","— немає"))))</f>
        <v>Повне (лист 3)</v>
      </c>
      <c r="E87" s="126">
        <f>IFERROR(IF($C$70="ЕКСПРЕС",INDEX('2_Parameter_Scores'!$H$2:$H$34,MATCH($B87,'2_Parameter_Scores'!$B$2:$B$34,0)),IF($C$70="ПОВНЕ",INDEX('3_коефіцієнти_розширеного_аналі'!$L$2:$L$49,MATCH($B87,'3_коефіцієнти_розширеного_аналі'!$C$2:$C$49,0)),IFERROR(INDEX('3_коефіцієнти_розширеного_аналі'!$L$2:$L$49,MATCH($B87,'3_коефіцієнти_розширеного_аналі'!$C$2:$C$49,0)),INDEX('2_Parameter_Scores'!$H$2:$H$34,MATCH($B87,'2_Parameter_Scores'!$B$2:$B$34,0))))),0)</f>
        <v>0.23948717948717957</v>
      </c>
      <c r="F87" s="126">
        <f>IFERROR(IF($C$70="ЕКСПРЕС",INDEX('2_Parameter_Scores'!$I$2:$I$34,MATCH($B87,'2_Parameter_Scores'!$B$2:$B$34,0)),IF($C$70="ПОВНЕ",INDEX('3_коефіцієнти_розширеного_аналі'!$M$2:$M$49,MATCH($B87,'3_коефіцієнти_розширеного_аналі'!$C$2:$C$49,0)),IFERROR(INDEX('3_коефіцієнти_розширеного_аналі'!$M$2:$M$49,MATCH($B87,'3_коефіцієнти_розширеного_аналі'!$C$2:$C$49,0)),INDEX('2_Parameter_Scores'!$I$2:$I$34,MATCH($B87,'2_Parameter_Scores'!$B$2:$B$34,0))))),0)</f>
        <v>0.42999999999999988</v>
      </c>
      <c r="G87" s="126">
        <f>IFERROR(IF($C$70="ЕКСПРЕС",INDEX('2_Parameter_Scores'!$J$2:$J$34,MATCH($B87,'2_Parameter_Scores'!$B$2:$B$34,0)),IF($C$70="ПОВНЕ",INDEX('3_коефіцієнти_розширеного_аналі'!$N$2:$N$49,MATCH($B87,'3_коефіцієнти_розширеного_аналі'!$C$2:$C$49,0)),IFERROR(INDEX('3_коефіцієнти_розширеного_аналі'!$N$2:$N$49,MATCH($B87,'3_коефіцієнти_розширеного_аналі'!$C$2:$C$49,0)),INDEX('2_Parameter_Scores'!$J$2:$J$34,MATCH($B87,'2_Parameter_Scores'!$B$2:$B$34,0))))),0)</f>
        <v>0.63153846153846138</v>
      </c>
      <c r="H87" s="126">
        <f>IFERROR(IF($C$70="ЕКСПРЕС",INDEX('2_Parameter_Scores'!$K$2:$K$34,MATCH($B87,'2_Parameter_Scores'!$B$2:$B$34,0)),IF($C$70="ПОВНЕ",INDEX('3_коефіцієнти_розширеного_аналі'!$O$2:$O$49,MATCH($B87,'3_коефіцієнти_розширеного_аналі'!$C$2:$C$49,0)),IFERROR(INDEX('3_коефіцієнти_розширеного_аналі'!$O$2:$O$49,MATCH($B87,'3_коефіцієнти_розширеного_аналі'!$C$2:$C$49,0)),INDEX('2_Parameter_Scores'!$K$2:$K$34,MATCH($B87,'2_Parameter_Scores'!$B$2:$B$34,0))))),0)</f>
        <v>0.82461538461538453</v>
      </c>
      <c r="I87" s="126">
        <f>IFERROR(IF($C$70="ЕКСПРЕС",INDEX('2_Parameter_Scores'!$L$2:$L$34,MATCH($B87,'2_Parameter_Scores'!$B$2:$B$34,0)),IF($C$70="ПОВНЕ",INDEX('3_коефіцієнти_розширеного_аналі'!$P$2:$P$49,MATCH($B87,'3_коефіцієнти_розширеного_аналі'!$C$2:$C$49,0)),IFERROR(INDEX('3_коефіцієнти_розширеного_аналі'!$P$2:$P$49,MATCH($B87,'3_коефіцієнти_розширеного_аналі'!$C$2:$C$49,0)),INDEX('2_Parameter_Scores'!$L$2:$L$34,MATCH($B87,'2_Parameter_Scores'!$B$2:$B$34,0))))),0)</f>
        <v>0.81974358974358974</v>
      </c>
      <c r="J87" s="127">
        <f t="shared" si="2"/>
        <v>1</v>
      </c>
      <c r="K87" s="128">
        <f t="shared" si="3"/>
        <v>0.19999999999999996</v>
      </c>
    </row>
    <row r="88" spans="1:11" ht="21.75" customHeight="1" x14ac:dyDescent="0.25">
      <c r="A88" s="122" t="s">
        <v>278</v>
      </c>
      <c r="B88" s="123" t="s">
        <v>560</v>
      </c>
      <c r="C88" s="124">
        <f>$E$46</f>
        <v>0.1</v>
      </c>
      <c r="D88" s="125" t="str">
        <f>IF($C$70="ЕКСПРЕС",IF(ISNUMBER(MATCH($B88,'2_Parameter_Scores'!$B$2:$B$34,0)),"Експрес (лист 2)","— немає"),IF($C$70="ПОВНЕ",IF(ISNUMBER(MATCH($B88,'3_коефіцієнти_розширеного_аналі'!$C$2:$C$49,0)),"Повне (лист 3)","— немає"),IF(ISNUMBER(MATCH($B88,'3_коефіцієнти_розширеного_аналі'!$C$2:$C$49,0)),"Повне (лист 3)",IF(ISNUMBER(MATCH($B88,'2_Parameter_Scores'!$B$2:$B$34,0)),"Експрес (лист 2)","— немає"))))</f>
        <v>Повне (лист 3)</v>
      </c>
      <c r="E88" s="126">
        <f>IFERROR(IF($C$70="ЕКСПРЕС",INDEX('2_Parameter_Scores'!$H$2:$H$34,MATCH($B88,'2_Parameter_Scores'!$B$2:$B$34,0)),IF($C$70="ПОВНЕ",INDEX('3_коефіцієнти_розширеного_аналі'!$L$2:$L$49,MATCH($B88,'3_коефіцієнти_розширеного_аналі'!$C$2:$C$49,0)),IFERROR(INDEX('3_коефіцієнти_розширеного_аналі'!$L$2:$L$49,MATCH($B88,'3_коефіцієнти_розширеного_аналі'!$C$2:$C$49,0)),INDEX('2_Parameter_Scores'!$H$2:$H$34,MATCH($B88,'2_Parameter_Scores'!$B$2:$B$34,0))))),0)</f>
        <v>9.1612903225806563E-2</v>
      </c>
      <c r="F88" s="126">
        <f>IFERROR(IF($C$70="ЕКСПРЕС",INDEX('2_Parameter_Scores'!$I$2:$I$34,MATCH($B88,'2_Parameter_Scores'!$B$2:$B$34,0)),IF($C$70="ПОВНЕ",INDEX('3_коефіцієнти_розширеного_аналі'!$M$2:$M$49,MATCH($B88,'3_коефіцієнти_розширеного_аналі'!$C$2:$C$49,0)),IFERROR(INDEX('3_коефіцієнти_розширеного_аналі'!$M$2:$M$49,MATCH($B88,'3_коефіцієнти_розширеного_аналі'!$C$2:$C$49,0)),INDEX('2_Parameter_Scores'!$I$2:$I$34,MATCH($B88,'2_Parameter_Scores'!$B$2:$B$34,0))))),0)</f>
        <v>0.32258064516129031</v>
      </c>
      <c r="G88" s="126">
        <f>IFERROR(IF($C$70="ЕКСПРЕС",INDEX('2_Parameter_Scores'!$J$2:$J$34,MATCH($B88,'2_Parameter_Scores'!$B$2:$B$34,0)),IF($C$70="ПОВНЕ",INDEX('3_коефіцієнти_розширеного_аналі'!$N$2:$N$49,MATCH($B88,'3_коефіцієнти_розширеного_аналі'!$C$2:$C$49,0)),IFERROR(INDEX('3_коефіцієнти_розширеного_аналі'!$N$2:$N$49,MATCH($B88,'3_коефіцієнти_розширеного_аналі'!$C$2:$C$49,0)),INDEX('2_Parameter_Scores'!$J$2:$J$34,MATCH($B88,'2_Parameter_Scores'!$B$2:$B$34,0))))),0)</f>
        <v>0.45741935483870988</v>
      </c>
      <c r="H88" s="126">
        <f>IFERROR(IF($C$70="ЕКСПРЕС",INDEX('2_Parameter_Scores'!$K$2:$K$34,MATCH($B88,'2_Parameter_Scores'!$B$2:$B$34,0)),IF($C$70="ПОВНЕ",INDEX('3_коефіцієнти_розширеного_аналі'!$O$2:$O$49,MATCH($B88,'3_коефіцієнти_розширеного_аналі'!$C$2:$C$49,0)),IFERROR(INDEX('3_коефіцієнти_розширеного_аналі'!$O$2:$O$49,MATCH($B88,'3_коефіцієнти_розширеного_аналі'!$C$2:$C$49,0)),INDEX('2_Parameter_Scores'!$K$2:$K$34,MATCH($B88,'2_Parameter_Scores'!$B$2:$B$34,0))))),0)</f>
        <v>0.37129032258064532</v>
      </c>
      <c r="I88" s="126">
        <f>IFERROR(IF($C$70="ЕКСПРЕС",INDEX('2_Parameter_Scores'!$L$2:$L$34,MATCH($B88,'2_Parameter_Scores'!$B$2:$B$34,0)),IF($C$70="ПОВНЕ",INDEX('3_коефіцієнти_розширеного_аналі'!$P$2:$P$49,MATCH($B88,'3_коефіцієнти_розширеного_аналі'!$C$2:$C$49,0)),IFERROR(INDEX('3_коефіцієнти_розширеного_аналі'!$P$2:$P$49,MATCH($B88,'3_коефіцієнти_розширеного_аналі'!$C$2:$C$49,0)),INDEX('2_Parameter_Scores'!$L$2:$L$34,MATCH($B88,'2_Parameter_Scores'!$B$2:$B$34,0))))),0)</f>
        <v>0.50645161290322593</v>
      </c>
      <c r="J88" s="127">
        <f t="shared" si="2"/>
        <v>1</v>
      </c>
      <c r="K88" s="128">
        <f t="shared" si="3"/>
        <v>9.9999999999999978E-2</v>
      </c>
    </row>
    <row r="89" spans="1:11" ht="21.75" customHeight="1" x14ac:dyDescent="0.25">
      <c r="B89" s="129" t="s">
        <v>838</v>
      </c>
      <c r="C89" s="130">
        <f>SUMPRODUCT($C$83:$C$88,$J$83:$J$88)/SUM($C$83:$C$88)</f>
        <v>1</v>
      </c>
      <c r="D89" s="131" t="str">
        <f>COUNTIF($J$83:$J$88,1)&amp;" з "&amp;6&amp;" компонентів"</f>
        <v>6 з 6 компонентів</v>
      </c>
      <c r="K89" s="132">
        <f>SUM($K$83:$K$88)</f>
        <v>0.99999999999999967</v>
      </c>
    </row>
    <row r="90" spans="1:11" ht="21.75" customHeight="1" x14ac:dyDescent="0.25">
      <c r="A90" s="133" t="s">
        <v>281</v>
      </c>
      <c r="B90" s="134" t="s">
        <v>172</v>
      </c>
      <c r="C90" s="135">
        <f>$F$19</f>
        <v>0.2</v>
      </c>
      <c r="D90" s="136" t="str">
        <f>IF($C$70="ЕКСПРЕС",IF(ISNUMBER(MATCH($B90,'2_Parameter_Scores'!$B$2:$B$34,0)),"Експрес (лист 2)","— немає"),IF($C$70="ПОВНЕ",IF(ISNUMBER(MATCH($B90,'3_коефіцієнти_розширеного_аналі'!$C$2:$C$49,0)),"Повне (лист 3)","— немає"),IF(ISNUMBER(MATCH($B90,'3_коефіцієнти_розширеного_аналі'!$C$2:$C$49,0)),"Повне (лист 3)",IF(ISNUMBER(MATCH($B90,'2_Parameter_Scores'!$B$2:$B$34,0)),"Експрес (лист 2)","— немає"))))</f>
        <v>Повне (лист 3)</v>
      </c>
      <c r="E90" s="137">
        <f>IFERROR(IF($C$70="ЕКСПРЕС",INDEX('2_Parameter_Scores'!$H$2:$H$34,MATCH($B90,'2_Parameter_Scores'!$B$2:$B$34,0)),IF($C$70="ПОВНЕ",INDEX('3_коефіцієнти_розширеного_аналі'!$L$2:$L$49,MATCH($B90,'3_коефіцієнти_розширеного_аналі'!$C$2:$C$49,0)),IFERROR(INDEX('3_коефіцієнти_розширеного_аналі'!$L$2:$L$49,MATCH($B90,'3_коефіцієнти_розширеного_аналі'!$C$2:$C$49,0)),INDEX('2_Parameter_Scores'!$H$2:$H$34,MATCH($B90,'2_Parameter_Scores'!$B$2:$B$34,0))))),0)</f>
        <v>6.0512820512820496E-2</v>
      </c>
      <c r="F90" s="137">
        <f>IFERROR(IF($C$70="ЕКСПРЕС",INDEX('2_Parameter_Scores'!$I$2:$I$34,MATCH($B90,'2_Parameter_Scores'!$B$2:$B$34,0)),IF($C$70="ПОВНЕ",INDEX('3_коефіцієнти_розширеного_аналі'!$M$2:$M$49,MATCH($B90,'3_коефіцієнти_розширеного_аналі'!$C$2:$C$49,0)),IFERROR(INDEX('3_коефіцієнти_розширеного_аналі'!$M$2:$M$49,MATCH($B90,'3_коефіцієнти_розширеного_аналі'!$C$2:$C$49,0)),INDEX('2_Parameter_Scores'!$I$2:$I$34,MATCH($B90,'2_Parameter_Scores'!$B$2:$B$34,0))))),0)</f>
        <v>0.1215384615384616</v>
      </c>
      <c r="G90" s="137">
        <f>IFERROR(IF($C$70="ЕКСПРЕС",INDEX('2_Parameter_Scores'!$J$2:$J$34,MATCH($B90,'2_Parameter_Scores'!$B$2:$B$34,0)),IF($C$70="ПОВНЕ",INDEX('3_коефіцієнти_розширеного_аналі'!$N$2:$N$49,MATCH($B90,'3_коефіцієнти_розширеного_аналі'!$C$2:$C$49,0)),IFERROR(INDEX('3_коефіцієнти_розширеного_аналі'!$N$2:$N$49,MATCH($B90,'3_коефіцієнти_розширеного_аналі'!$C$2:$C$49,0)),INDEX('2_Parameter_Scores'!$J$2:$J$34,MATCH($B90,'2_Parameter_Scores'!$B$2:$B$34,0))))),0)</f>
        <v>0.30641025641025649</v>
      </c>
      <c r="H90" s="137">
        <f>IFERROR(IF($C$70="ЕКСПРЕС",INDEX('2_Parameter_Scores'!$K$2:$K$34,MATCH($B90,'2_Parameter_Scores'!$B$2:$B$34,0)),IF($C$70="ПОВНЕ",INDEX('3_коефіцієнти_розширеного_аналі'!$O$2:$O$49,MATCH($B90,'3_коефіцієнти_розширеного_аналі'!$C$2:$C$49,0)),IFERROR(INDEX('3_коефіцієнти_розширеного_аналі'!$O$2:$O$49,MATCH($B90,'3_коефіцієнти_розширеного_аналі'!$C$2:$C$49,0)),INDEX('2_Parameter_Scores'!$K$2:$K$34,MATCH($B90,'2_Parameter_Scores'!$B$2:$B$34,0))))),0)</f>
        <v>0.42282051282051286</v>
      </c>
      <c r="I90" s="137">
        <f>IFERROR(IF($C$70="ЕКСПРЕС",INDEX('2_Parameter_Scores'!$L$2:$L$34,MATCH($B90,'2_Parameter_Scores'!$B$2:$B$34,0)),IF($C$70="ПОВНЕ",INDEX('3_коефіцієнти_розширеного_аналі'!$P$2:$P$49,MATCH($B90,'3_коефіцієнти_розширеного_аналі'!$C$2:$C$49,0)),IFERROR(INDEX('3_коефіцієнти_розширеного_аналі'!$P$2:$P$49,MATCH($B90,'3_коефіцієнти_розширеного_аналі'!$C$2:$C$49,0)),INDEX('2_Parameter_Scores'!$L$2:$L$34,MATCH($B90,'2_Parameter_Scores'!$B$2:$B$34,0))))),0)</f>
        <v>0.57641025641025634</v>
      </c>
      <c r="J90" s="138">
        <f t="shared" ref="J90:J97" si="4">IF(LEFT($D90,1)="—",0,1)</f>
        <v>1</v>
      </c>
      <c r="K90" s="139">
        <f t="shared" ref="K90:K97" si="5">IF($J90=0,0,$C90/SUMPRODUCT($C$90:$C$97,$J$90:$J$97))</f>
        <v>0.2</v>
      </c>
    </row>
    <row r="91" spans="1:11" ht="21.75" customHeight="1" x14ac:dyDescent="0.25">
      <c r="A91" s="133" t="s">
        <v>281</v>
      </c>
      <c r="B91" s="134" t="s">
        <v>188</v>
      </c>
      <c r="C91" s="135">
        <f>$F$20</f>
        <v>0.15</v>
      </c>
      <c r="D91" s="136" t="str">
        <f>IF($C$70="ЕКСПРЕС",IF(ISNUMBER(MATCH($B91,'2_Parameter_Scores'!$B$2:$B$34,0)),"Експрес (лист 2)","— немає"),IF($C$70="ПОВНЕ",IF(ISNUMBER(MATCH($B91,'3_коефіцієнти_розширеного_аналі'!$C$2:$C$49,0)),"Повне (лист 3)","— немає"),IF(ISNUMBER(MATCH($B91,'3_коефіцієнти_розширеного_аналі'!$C$2:$C$49,0)),"Повне (лист 3)",IF(ISNUMBER(MATCH($B91,'2_Parameter_Scores'!$B$2:$B$34,0)),"Експрес (лист 2)","— немає"))))</f>
        <v>Повне (лист 3)</v>
      </c>
      <c r="E91" s="137">
        <f>IFERROR(IF($C$70="ЕКСПРЕС",INDEX('2_Parameter_Scores'!$H$2:$H$34,MATCH($B91,'2_Parameter_Scores'!$B$2:$B$34,0)),IF($C$70="ПОВНЕ",INDEX('3_коефіцієнти_розширеного_аналі'!$L$2:$L$49,MATCH($B91,'3_коефіцієнти_розширеного_аналі'!$C$2:$C$49,0)),IFERROR(INDEX('3_коефіцієнти_розширеного_аналі'!$L$2:$L$49,MATCH($B91,'3_коефіцієнти_розширеного_аналі'!$C$2:$C$49,0)),INDEX('2_Parameter_Scores'!$H$2:$H$34,MATCH($B91,'2_Parameter_Scores'!$B$2:$B$34,0))))),0)</f>
        <v>0.15371428571428558</v>
      </c>
      <c r="F91" s="137">
        <f>IFERROR(IF($C$70="ЕКСПРЕС",INDEX('2_Parameter_Scores'!$I$2:$I$34,MATCH($B91,'2_Parameter_Scores'!$B$2:$B$34,0)),IF($C$70="ПОВНЕ",INDEX('3_коефіцієнти_розширеного_аналі'!$M$2:$M$49,MATCH($B91,'3_коефіцієнти_розширеного_аналі'!$C$2:$C$49,0)),IFERROR(INDEX('3_коефіцієнти_розширеного_аналі'!$M$2:$M$49,MATCH($B91,'3_коефіцієнти_розширеного_аналі'!$C$2:$C$49,0)),INDEX('2_Parameter_Scores'!$I$2:$I$34,MATCH($B91,'2_Parameter_Scores'!$B$2:$B$34,0))))),0)</f>
        <v>0.35514285714285732</v>
      </c>
      <c r="G91" s="137">
        <f>IFERROR(IF($C$70="ЕКСПРЕС",INDEX('2_Parameter_Scores'!$J$2:$J$34,MATCH($B91,'2_Parameter_Scores'!$B$2:$B$34,0)),IF($C$70="ПОВНЕ",INDEX('3_коефіцієнти_розширеного_аналі'!$N$2:$N$49,MATCH($B91,'3_коефіцієнти_розширеного_аналі'!$C$2:$C$49,0)),IFERROR(INDEX('3_коефіцієнти_розширеного_аналі'!$N$2:$N$49,MATCH($B91,'3_коефіцієнти_розширеного_аналі'!$C$2:$C$49,0)),INDEX('2_Parameter_Scores'!$J$2:$J$34,MATCH($B91,'2_Parameter_Scores'!$B$2:$B$34,0))))),0)</f>
        <v>0.48771428571428554</v>
      </c>
      <c r="H91" s="137">
        <f>IFERROR(IF($C$70="ЕКСПРЕС",INDEX('2_Parameter_Scores'!$K$2:$K$34,MATCH($B91,'2_Parameter_Scores'!$B$2:$B$34,0)),IF($C$70="ПОВНЕ",INDEX('3_коефіцієнти_розширеного_аналі'!$O$2:$O$49,MATCH($B91,'3_коефіцієнти_розширеного_аналі'!$C$2:$C$49,0)),IFERROR(INDEX('3_коефіцієнти_розширеного_аналі'!$O$2:$O$49,MATCH($B91,'3_коефіцієнти_розширеного_аналі'!$C$2:$C$49,0)),INDEX('2_Parameter_Scores'!$K$2:$K$34,MATCH($B91,'2_Parameter_Scores'!$B$2:$B$34,0))))),0)</f>
        <v>0.55285714285714271</v>
      </c>
      <c r="I91" s="137">
        <f>IFERROR(IF($C$70="ЕКСПРЕС",INDEX('2_Parameter_Scores'!$L$2:$L$34,MATCH($B91,'2_Parameter_Scores'!$B$2:$B$34,0)),IF($C$70="ПОВНЕ",INDEX('3_коефіцієнти_розширеного_аналі'!$P$2:$P$49,MATCH($B91,'3_коефіцієнти_розширеного_аналі'!$C$2:$C$49,0)),IFERROR(INDEX('3_коефіцієнти_розширеного_аналі'!$P$2:$P$49,MATCH($B91,'3_коефіцієнти_розширеного_аналі'!$C$2:$C$49,0)),INDEX('2_Parameter_Scores'!$L$2:$L$34,MATCH($B91,'2_Parameter_Scores'!$B$2:$B$34,0))))),0)</f>
        <v>0.77457142857142858</v>
      </c>
      <c r="J91" s="138">
        <f t="shared" si="4"/>
        <v>1</v>
      </c>
      <c r="K91" s="139">
        <f t="shared" si="5"/>
        <v>0.15</v>
      </c>
    </row>
    <row r="92" spans="1:11" ht="21.75" customHeight="1" x14ac:dyDescent="0.25">
      <c r="A92" s="133" t="s">
        <v>281</v>
      </c>
      <c r="B92" s="134" t="s">
        <v>189</v>
      </c>
      <c r="C92" s="135">
        <f>$F$21</f>
        <v>0.15</v>
      </c>
      <c r="D92" s="136" t="str">
        <f>IF($C$70="ЕКСПРЕС",IF(ISNUMBER(MATCH($B92,'2_Parameter_Scores'!$B$2:$B$34,0)),"Експрес (лист 2)","— немає"),IF($C$70="ПОВНЕ",IF(ISNUMBER(MATCH($B92,'3_коефіцієнти_розширеного_аналі'!$C$2:$C$49,0)),"Повне (лист 3)","— немає"),IF(ISNUMBER(MATCH($B92,'3_коефіцієнти_розширеного_аналі'!$C$2:$C$49,0)),"Повне (лист 3)",IF(ISNUMBER(MATCH($B92,'2_Parameter_Scores'!$B$2:$B$34,0)),"Експрес (лист 2)","— немає"))))</f>
        <v>Повне (лист 3)</v>
      </c>
      <c r="E92" s="137">
        <f>IFERROR(IF($C$70="ЕКСПРЕС",INDEX('2_Parameter_Scores'!$H$2:$H$34,MATCH($B92,'2_Parameter_Scores'!$B$2:$B$34,0)),IF($C$70="ПОВНЕ",INDEX('3_коефіцієнти_розширеного_аналі'!$L$2:$L$49,MATCH($B92,'3_коефіцієнти_розширеного_аналі'!$C$2:$C$49,0)),IFERROR(INDEX('3_коефіцієнти_розширеного_аналі'!$L$2:$L$49,MATCH($B92,'3_коефіцієнти_розширеного_аналі'!$C$2:$C$49,0)),INDEX('2_Parameter_Scores'!$H$2:$H$34,MATCH($B92,'2_Parameter_Scores'!$B$2:$B$34,0))))),0)</f>
        <v>0.20100000000000015</v>
      </c>
      <c r="F92" s="137">
        <f>IFERROR(IF($C$70="ЕКСПРЕС",INDEX('2_Parameter_Scores'!$I$2:$I$34,MATCH($B92,'2_Parameter_Scores'!$B$2:$B$34,0)),IF($C$70="ПОВНЕ",INDEX('3_коефіцієнти_розширеного_аналі'!$M$2:$M$49,MATCH($B92,'3_коефіцієнти_розширеного_аналі'!$C$2:$C$49,0)),IFERROR(INDEX('3_коефіцієнти_розширеного_аналі'!$M$2:$M$49,MATCH($B92,'3_коефіцієнти_розширеного_аналі'!$C$2:$C$49,0)),INDEX('2_Parameter_Scores'!$I$2:$I$34,MATCH($B92,'2_Parameter_Scores'!$B$2:$B$34,0))))),0)</f>
        <v>0.28749999999999998</v>
      </c>
      <c r="G92" s="137">
        <f>IFERROR(IF($C$70="ЕКСПРЕС",INDEX('2_Parameter_Scores'!$J$2:$J$34,MATCH($B92,'2_Parameter_Scores'!$B$2:$B$34,0)),IF($C$70="ПОВНЕ",INDEX('3_коефіцієнти_розширеного_аналі'!$N$2:$N$49,MATCH($B92,'3_коефіцієнти_розширеного_аналі'!$C$2:$C$49,0)),IFERROR(INDEX('3_коефіцієнти_розширеного_аналі'!$N$2:$N$49,MATCH($B92,'3_коефіцієнти_розширеного_аналі'!$C$2:$C$49,0)),INDEX('2_Parameter_Scores'!$J$2:$J$34,MATCH($B92,'2_Parameter_Scores'!$B$2:$B$34,0))))),0)</f>
        <v>0.40700000000000003</v>
      </c>
      <c r="H92" s="137">
        <f>IFERROR(IF($C$70="ЕКСПРЕС",INDEX('2_Parameter_Scores'!$K$2:$K$34,MATCH($B92,'2_Parameter_Scores'!$B$2:$B$34,0)),IF($C$70="ПОВНЕ",INDEX('3_коефіцієнти_розширеного_аналі'!$O$2:$O$49,MATCH($B92,'3_коефіцієнти_розширеного_аналі'!$C$2:$C$49,0)),IFERROR(INDEX('3_коефіцієнти_розширеного_аналі'!$O$2:$O$49,MATCH($B92,'3_коефіцієнти_розширеного_аналі'!$C$2:$C$49,0)),INDEX('2_Parameter_Scores'!$K$2:$K$34,MATCH($B92,'2_Parameter_Scores'!$B$2:$B$34,0))))),0)</f>
        <v>0.41249999999999998</v>
      </c>
      <c r="I92" s="137">
        <f>IFERROR(IF($C$70="ЕКСПРЕС",INDEX('2_Parameter_Scores'!$L$2:$L$34,MATCH($B92,'2_Parameter_Scores'!$B$2:$B$34,0)),IF($C$70="ПОВНЕ",INDEX('3_коефіцієнти_розширеного_аналі'!$P$2:$P$49,MATCH($B92,'3_коефіцієнти_розширеного_аналі'!$C$2:$C$49,0)),IFERROR(INDEX('3_коефіцієнти_розширеного_аналі'!$P$2:$P$49,MATCH($B92,'3_коефіцієнти_розширеного_аналі'!$C$2:$C$49,0)),INDEX('2_Parameter_Scores'!$L$2:$L$34,MATCH($B92,'2_Parameter_Scores'!$B$2:$B$34,0))))),0)</f>
        <v>0.4504999999999999</v>
      </c>
      <c r="J92" s="138">
        <f t="shared" si="4"/>
        <v>1</v>
      </c>
      <c r="K92" s="139">
        <f t="shared" si="5"/>
        <v>0.15</v>
      </c>
    </row>
    <row r="93" spans="1:11" ht="21.75" customHeight="1" x14ac:dyDescent="0.25">
      <c r="A93" s="133" t="s">
        <v>281</v>
      </c>
      <c r="B93" s="134" t="s">
        <v>412</v>
      </c>
      <c r="C93" s="135">
        <f>$F$22</f>
        <v>0.1</v>
      </c>
      <c r="D93" s="136" t="str">
        <f>IF($C$70="ЕКСПРЕС",IF(ISNUMBER(MATCH($B93,'2_Parameter_Scores'!$B$2:$B$34,0)),"Експрес (лист 2)","— немає"),IF($C$70="ПОВНЕ",IF(ISNUMBER(MATCH($B93,'3_коефіцієнти_розширеного_аналі'!$C$2:$C$49,0)),"Повне (лист 3)","— немає"),IF(ISNUMBER(MATCH($B93,'3_коефіцієнти_розширеного_аналі'!$C$2:$C$49,0)),"Повне (лист 3)",IF(ISNUMBER(MATCH($B93,'2_Parameter_Scores'!$B$2:$B$34,0)),"Експрес (лист 2)","— немає"))))</f>
        <v>Повне (лист 3)</v>
      </c>
      <c r="E93" s="137">
        <f>IFERROR(IF($C$70="ЕКСПРЕС",INDEX('2_Parameter_Scores'!$H$2:$H$34,MATCH($B93,'2_Parameter_Scores'!$B$2:$B$34,0)),IF($C$70="ПОВНЕ",INDEX('3_коефіцієнти_розширеного_аналі'!$L$2:$L$49,MATCH($B93,'3_коефіцієнти_розширеного_аналі'!$C$2:$C$49,0)),IFERROR(INDEX('3_коефіцієнти_розширеного_аналі'!$L$2:$L$49,MATCH($B93,'3_коефіцієнти_розширеного_аналі'!$C$2:$C$49,0)),INDEX('2_Parameter_Scores'!$H$2:$H$34,MATCH($B93,'2_Parameter_Scores'!$B$2:$B$34,0))))),0)</f>
        <v>5.4102564102564088E-2</v>
      </c>
      <c r="F93" s="137">
        <f>IFERROR(IF($C$70="ЕКСПРЕС",INDEX('2_Parameter_Scores'!$I$2:$I$34,MATCH($B93,'2_Parameter_Scores'!$B$2:$B$34,0)),IF($C$70="ПОВНЕ",INDEX('3_коефіцієнти_розширеного_аналі'!$M$2:$M$49,MATCH($B93,'3_коефіцієнти_розширеного_аналі'!$C$2:$C$49,0)),IFERROR(INDEX('3_коефіцієнти_розширеного_аналі'!$M$2:$M$49,MATCH($B93,'3_коефіцієнти_розширеного_аналі'!$C$2:$C$49,0)),INDEX('2_Parameter_Scores'!$I$2:$I$34,MATCH($B93,'2_Parameter_Scores'!$B$2:$B$34,0))))),0)</f>
        <v>0.2558974358974358</v>
      </c>
      <c r="G93" s="137">
        <f>IFERROR(IF($C$70="ЕКСПРЕС",INDEX('2_Parameter_Scores'!$J$2:$J$34,MATCH($B93,'2_Parameter_Scores'!$B$2:$B$34,0)),IF($C$70="ПОВНЕ",INDEX('3_коефіцієнти_розширеного_аналі'!$N$2:$N$49,MATCH($B93,'3_коефіцієнти_розширеного_аналі'!$C$2:$C$49,0)),IFERROR(INDEX('3_коефіцієнти_розширеного_аналі'!$N$2:$N$49,MATCH($B93,'3_коефіцієнти_розширеного_аналі'!$C$2:$C$49,0)),INDEX('2_Parameter_Scores'!$J$2:$J$34,MATCH($B93,'2_Parameter_Scores'!$B$2:$B$34,0))))),0)</f>
        <v>0.46589743589743593</v>
      </c>
      <c r="H93" s="137">
        <f>IFERROR(IF($C$70="ЕКСПРЕС",INDEX('2_Parameter_Scores'!$K$2:$K$34,MATCH($B93,'2_Parameter_Scores'!$B$2:$B$34,0)),IF($C$70="ПОВНЕ",INDEX('3_коефіцієнти_розширеного_аналі'!$O$2:$O$49,MATCH($B93,'3_коефіцієнти_розширеного_аналі'!$C$2:$C$49,0)),IFERROR(INDEX('3_коефіцієнти_розширеного_аналі'!$O$2:$O$49,MATCH($B93,'3_коефіцієнти_розширеного_аналі'!$C$2:$C$49,0)),INDEX('2_Parameter_Scores'!$K$2:$K$34,MATCH($B93,'2_Parameter_Scores'!$B$2:$B$34,0))))),0)</f>
        <v>0.50307692307692298</v>
      </c>
      <c r="I93" s="137">
        <f>IFERROR(IF($C$70="ЕКСПРЕС",INDEX('2_Parameter_Scores'!$L$2:$L$34,MATCH($B93,'2_Parameter_Scores'!$B$2:$B$34,0)),IF($C$70="ПОВНЕ",INDEX('3_коефіцієнти_розширеного_аналі'!$P$2:$P$49,MATCH($B93,'3_коефіцієнти_розширеного_аналі'!$C$2:$C$49,0)),IFERROR(INDEX('3_коефіцієнти_розширеного_аналі'!$P$2:$P$49,MATCH($B93,'3_коефіцієнти_розширеного_аналі'!$C$2:$C$49,0)),INDEX('2_Parameter_Scores'!$L$2:$L$34,MATCH($B93,'2_Parameter_Scores'!$B$2:$B$34,0))))),0)</f>
        <v>0.65282051282051279</v>
      </c>
      <c r="J93" s="138">
        <f t="shared" si="4"/>
        <v>1</v>
      </c>
      <c r="K93" s="139">
        <f t="shared" si="5"/>
        <v>0.1</v>
      </c>
    </row>
    <row r="94" spans="1:11" ht="21.75" customHeight="1" x14ac:dyDescent="0.25">
      <c r="A94" s="133" t="s">
        <v>281</v>
      </c>
      <c r="B94" s="134" t="s">
        <v>200</v>
      </c>
      <c r="C94" s="135">
        <f>$F$23</f>
        <v>0.15</v>
      </c>
      <c r="D94" s="136" t="str">
        <f>IF($C$70="ЕКСПРЕС",IF(ISNUMBER(MATCH($B94,'2_Parameter_Scores'!$B$2:$B$34,0)),"Експрес (лист 2)","— немає"),IF($C$70="ПОВНЕ",IF(ISNUMBER(MATCH($B94,'3_коефіцієнти_розширеного_аналі'!$C$2:$C$49,0)),"Повне (лист 3)","— немає"),IF(ISNUMBER(MATCH($B94,'3_коефіцієнти_розширеного_аналі'!$C$2:$C$49,0)),"Повне (лист 3)",IF(ISNUMBER(MATCH($B94,'2_Parameter_Scores'!$B$2:$B$34,0)),"Експрес (лист 2)","— немає"))))</f>
        <v>Повне (лист 3)</v>
      </c>
      <c r="E94" s="137">
        <f>IFERROR(IF($C$70="ЕКСПРЕС",INDEX('2_Parameter_Scores'!$H$2:$H$34,MATCH($B94,'2_Parameter_Scores'!$B$2:$B$34,0)),IF($C$70="ПОВНЕ",INDEX('3_коефіцієнти_розширеного_аналі'!$L$2:$L$49,MATCH($B94,'3_коефіцієнти_розширеного_аналі'!$C$2:$C$49,0)),IFERROR(INDEX('3_коефіцієнти_розширеного_аналі'!$L$2:$L$49,MATCH($B94,'3_коефіцієнти_розширеного_аналі'!$C$2:$C$49,0)),INDEX('2_Parameter_Scores'!$H$2:$H$34,MATCH($B94,'2_Parameter_Scores'!$B$2:$B$34,0))))),0)</f>
        <v>2.1999999999999888E-2</v>
      </c>
      <c r="F94" s="137">
        <f>IFERROR(IF($C$70="ЕКСПРЕС",INDEX('2_Parameter_Scores'!$I$2:$I$34,MATCH($B94,'2_Parameter_Scores'!$B$2:$B$34,0)),IF($C$70="ПОВНЕ",INDEX('3_коефіцієнти_розширеного_аналі'!$M$2:$M$49,MATCH($B94,'3_коефіцієнти_розширеного_аналі'!$C$2:$C$49,0)),IFERROR(INDEX('3_коефіцієнти_розширеного_аналі'!$M$2:$M$49,MATCH($B94,'3_коефіцієнти_розширеного_аналі'!$C$2:$C$49,0)),INDEX('2_Parameter_Scores'!$I$2:$I$34,MATCH($B94,'2_Parameter_Scores'!$B$2:$B$34,0))))),0)</f>
        <v>0.32514285714285701</v>
      </c>
      <c r="G94" s="137">
        <f>IFERROR(IF($C$70="ЕКСПРЕС",INDEX('2_Parameter_Scores'!$J$2:$J$34,MATCH($B94,'2_Parameter_Scores'!$B$2:$B$34,0)),IF($C$70="ПОВНЕ",INDEX('3_коефіцієнти_розширеного_аналі'!$N$2:$N$49,MATCH($B94,'3_коефіцієнти_розширеного_аналі'!$C$2:$C$49,0)),IFERROR(INDEX('3_коефіцієнти_розширеного_аналі'!$N$2:$N$49,MATCH($B94,'3_коефіцієнти_розширеного_аналі'!$C$2:$C$49,0)),INDEX('2_Parameter_Scores'!$J$2:$J$34,MATCH($B94,'2_Parameter_Scores'!$B$2:$B$34,0))))),0)</f>
        <v>0.3845714285714284</v>
      </c>
      <c r="H94" s="137">
        <f>IFERROR(IF($C$70="ЕКСПРЕС",INDEX('2_Parameter_Scores'!$K$2:$K$34,MATCH($B94,'2_Parameter_Scores'!$B$2:$B$34,0)),IF($C$70="ПОВНЕ",INDEX('3_коефіцієнти_розширеного_аналі'!$O$2:$O$49,MATCH($B94,'3_коефіцієнти_розширеного_аналі'!$C$2:$C$49,0)),IFERROR(INDEX('3_коефіцієнти_розширеного_аналі'!$O$2:$O$49,MATCH($B94,'3_коефіцієнти_розширеного_аналі'!$C$2:$C$49,0)),INDEX('2_Parameter_Scores'!$K$2:$K$34,MATCH($B94,'2_Parameter_Scores'!$B$2:$B$34,0))))),0)</f>
        <v>0.50800000000000001</v>
      </c>
      <c r="I94" s="137">
        <f>IFERROR(IF($C$70="ЕКСПРЕС",INDEX('2_Parameter_Scores'!$L$2:$L$34,MATCH($B94,'2_Parameter_Scores'!$B$2:$B$34,0)),IF($C$70="ПОВНЕ",INDEX('3_коефіцієнти_розширеного_аналі'!$P$2:$P$49,MATCH($B94,'3_коефіцієнти_розширеного_аналі'!$C$2:$C$49,0)),IFERROR(INDEX('3_коефіцієнти_розширеного_аналі'!$P$2:$P$49,MATCH($B94,'3_коефіцієнти_розширеного_аналі'!$C$2:$C$49,0)),INDEX('2_Parameter_Scores'!$L$2:$L$34,MATCH($B94,'2_Parameter_Scores'!$B$2:$B$34,0))))),0)</f>
        <v>0.69342857142857128</v>
      </c>
      <c r="J94" s="138">
        <f t="shared" si="4"/>
        <v>1</v>
      </c>
      <c r="K94" s="139">
        <f t="shared" si="5"/>
        <v>0.15</v>
      </c>
    </row>
    <row r="95" spans="1:11" ht="21.75" customHeight="1" x14ac:dyDescent="0.25">
      <c r="A95" s="133" t="s">
        <v>281</v>
      </c>
      <c r="B95" s="134" t="s">
        <v>197</v>
      </c>
      <c r="C95" s="135">
        <f>$F$24</f>
        <v>0.1</v>
      </c>
      <c r="D95" s="136" t="str">
        <f>IF($C$70="ЕКСПРЕС",IF(ISNUMBER(MATCH($B95,'2_Parameter_Scores'!$B$2:$B$34,0)),"Експрес (лист 2)","— немає"),IF($C$70="ПОВНЕ",IF(ISNUMBER(MATCH($B95,'3_коефіцієнти_розширеного_аналі'!$C$2:$C$49,0)),"Повне (лист 3)","— немає"),IF(ISNUMBER(MATCH($B95,'3_коефіцієнти_розширеного_аналі'!$C$2:$C$49,0)),"Повне (лист 3)",IF(ISNUMBER(MATCH($B95,'2_Parameter_Scores'!$B$2:$B$34,0)),"Експрес (лист 2)","— немає"))))</f>
        <v>Повне (лист 3)</v>
      </c>
      <c r="E95" s="137">
        <f>IFERROR(IF($C$70="ЕКСПРЕС",INDEX('2_Parameter_Scores'!$H$2:$H$34,MATCH($B95,'2_Parameter_Scores'!$B$2:$B$34,0)),IF($C$70="ПОВНЕ",INDEX('3_коефіцієнти_розширеного_аналі'!$L$2:$L$49,MATCH($B95,'3_коефіцієнти_розширеного_аналі'!$C$2:$C$49,0)),IFERROR(INDEX('3_коефіцієнти_розширеного_аналі'!$L$2:$L$49,MATCH($B95,'3_коефіцієнти_розширеного_аналі'!$C$2:$C$49,0)),INDEX('2_Parameter_Scores'!$H$2:$H$34,MATCH($B95,'2_Parameter_Scores'!$B$2:$B$34,0))))),0)</f>
        <v>0.14305555555555552</v>
      </c>
      <c r="F95" s="137">
        <f>IFERROR(IF($C$70="ЕКСПРЕС",INDEX('2_Parameter_Scores'!$I$2:$I$34,MATCH($B95,'2_Parameter_Scores'!$B$2:$B$34,0)),IF($C$70="ПОВНЕ",INDEX('3_коефіцієнти_розширеного_аналі'!$M$2:$M$49,MATCH($B95,'3_коефіцієнти_розширеного_аналі'!$C$2:$C$49,0)),IFERROR(INDEX('3_коефіцієнти_розширеного_аналі'!$M$2:$M$49,MATCH($B95,'3_коефіцієнти_розширеного_аналі'!$C$2:$C$49,0)),INDEX('2_Parameter_Scores'!$I$2:$I$34,MATCH($B95,'2_Parameter_Scores'!$B$2:$B$34,0))))),0)</f>
        <v>0.25138888888888883</v>
      </c>
      <c r="G95" s="137">
        <f>IFERROR(IF($C$70="ЕКСПРЕС",INDEX('2_Parameter_Scores'!$J$2:$J$34,MATCH($B95,'2_Parameter_Scores'!$B$2:$B$34,0)),IF($C$70="ПОВНЕ",INDEX('3_коефіцієнти_розширеного_аналі'!$N$2:$N$49,MATCH($B95,'3_коефіцієнти_розширеного_аналі'!$C$2:$C$49,0)),IFERROR(INDEX('3_коефіцієнти_розширеного_аналі'!$N$2:$N$49,MATCH($B95,'3_коефіцієнти_розширеного_аналі'!$C$2:$C$49,0)),INDEX('2_Parameter_Scores'!$J$2:$J$34,MATCH($B95,'2_Parameter_Scores'!$B$2:$B$34,0))))),0)</f>
        <v>0.51416666666666666</v>
      </c>
      <c r="H95" s="137">
        <f>IFERROR(IF($C$70="ЕКСПРЕС",INDEX('2_Parameter_Scores'!$K$2:$K$34,MATCH($B95,'2_Parameter_Scores'!$B$2:$B$34,0)),IF($C$70="ПОВНЕ",INDEX('3_коефіцієнти_розширеного_аналі'!$O$2:$O$49,MATCH($B95,'3_коефіцієнти_розширеного_аналі'!$C$2:$C$49,0)),IFERROR(INDEX('3_коефіцієнти_розширеного_аналі'!$O$2:$O$49,MATCH($B95,'3_коефіцієнти_розширеного_аналі'!$C$2:$C$49,0)),INDEX('2_Parameter_Scores'!$K$2:$K$34,MATCH($B95,'2_Parameter_Scores'!$B$2:$B$34,0))))),0)</f>
        <v>0.50277777777777777</v>
      </c>
      <c r="I95" s="137">
        <f>IFERROR(IF($C$70="ЕКСПРЕС",INDEX('2_Parameter_Scores'!$L$2:$L$34,MATCH($B95,'2_Parameter_Scores'!$B$2:$B$34,0)),IF($C$70="ПОВНЕ",INDEX('3_коефіцієнти_розширеного_аналі'!$P$2:$P$49,MATCH($B95,'3_коефіцієнти_розширеного_аналі'!$C$2:$C$49,0)),IFERROR(INDEX('3_коефіцієнти_розширеного_аналі'!$P$2:$P$49,MATCH($B95,'3_коефіцієнти_розширеного_аналі'!$C$2:$C$49,0)),INDEX('2_Parameter_Scores'!$L$2:$L$34,MATCH($B95,'2_Parameter_Scores'!$B$2:$B$34,0))))),0)</f>
        <v>0.74861111111111112</v>
      </c>
      <c r="J95" s="138">
        <f t="shared" si="4"/>
        <v>1</v>
      </c>
      <c r="K95" s="139">
        <f t="shared" si="5"/>
        <v>0.1</v>
      </c>
    </row>
    <row r="96" spans="1:11" ht="21.75" customHeight="1" x14ac:dyDescent="0.25">
      <c r="A96" s="133" t="s">
        <v>281</v>
      </c>
      <c r="B96" s="134" t="s">
        <v>433</v>
      </c>
      <c r="C96" s="135">
        <f>$F$25</f>
        <v>0.1</v>
      </c>
      <c r="D96" s="136" t="str">
        <f>IF($C$70="ЕКСПРЕС",IF(ISNUMBER(MATCH($B96,'2_Parameter_Scores'!$B$2:$B$34,0)),"Експрес (лист 2)","— немає"),IF($C$70="ПОВНЕ",IF(ISNUMBER(MATCH($B96,'3_коефіцієнти_розширеного_аналі'!$C$2:$C$49,0)),"Повне (лист 3)","— немає"),IF(ISNUMBER(MATCH($B96,'3_коефіцієнти_розширеного_аналі'!$C$2:$C$49,0)),"Повне (лист 3)",IF(ISNUMBER(MATCH($B96,'2_Parameter_Scores'!$B$2:$B$34,0)),"Експрес (лист 2)","— немає"))))</f>
        <v>Повне (лист 3)</v>
      </c>
      <c r="E96" s="137">
        <f>IFERROR(IF($C$70="ЕКСПРЕС",INDEX('2_Parameter_Scores'!$H$2:$H$34,MATCH($B96,'2_Parameter_Scores'!$B$2:$B$34,0)),IF($C$70="ПОВНЕ",INDEX('3_коефіцієнти_розширеного_аналі'!$L$2:$L$49,MATCH($B96,'3_коефіцієнти_розширеного_аналі'!$C$2:$C$49,0)),IFERROR(INDEX('3_коефіцієнти_розширеного_аналі'!$L$2:$L$49,MATCH($B96,'3_коефіцієнти_розширеного_аналі'!$C$2:$C$49,0)),INDEX('2_Parameter_Scores'!$H$2:$H$34,MATCH($B96,'2_Parameter_Scores'!$B$2:$B$34,0))))),0)</f>
        <v>0.18166666666666684</v>
      </c>
      <c r="F96" s="137">
        <f>IFERROR(IF($C$70="ЕКСПРЕС",INDEX('2_Parameter_Scores'!$I$2:$I$34,MATCH($B96,'2_Parameter_Scores'!$B$2:$B$34,0)),IF($C$70="ПОВНЕ",INDEX('3_коефіцієнти_розширеного_аналі'!$M$2:$M$49,MATCH($B96,'3_коефіцієнти_розширеного_аналі'!$C$2:$C$49,0)),IFERROR(INDEX('3_коефіцієнти_розширеного_аналі'!$M$2:$M$49,MATCH($B96,'3_коефіцієнти_розширеного_аналі'!$C$2:$C$49,0)),INDEX('2_Parameter_Scores'!$I$2:$I$34,MATCH($B96,'2_Parameter_Scores'!$B$2:$B$34,0))))),0)</f>
        <v>0.21611111111111114</v>
      </c>
      <c r="G96" s="137">
        <f>IFERROR(IF($C$70="ЕКСПРЕС",INDEX('2_Parameter_Scores'!$J$2:$J$34,MATCH($B96,'2_Parameter_Scores'!$B$2:$B$34,0)),IF($C$70="ПОВНЕ",INDEX('3_коефіцієнти_розширеного_аналі'!$N$2:$N$49,MATCH($B96,'3_коефіцієнти_розширеного_аналі'!$C$2:$C$49,0)),IFERROR(INDEX('3_коефіцієнти_розширеного_аналі'!$N$2:$N$49,MATCH($B96,'3_коефіцієнти_розширеного_аналі'!$C$2:$C$49,0)),INDEX('2_Parameter_Scores'!$J$2:$J$34,MATCH($B96,'2_Parameter_Scores'!$B$2:$B$34,0))))),0)</f>
        <v>0.35972222222222228</v>
      </c>
      <c r="H96" s="137">
        <f>IFERROR(IF($C$70="ЕКСПРЕС",INDEX('2_Parameter_Scores'!$K$2:$K$34,MATCH($B96,'2_Parameter_Scores'!$B$2:$B$34,0)),IF($C$70="ПОВНЕ",INDEX('3_коефіцієнти_розширеного_аналі'!$O$2:$O$49,MATCH($B96,'3_коефіцієнти_розширеного_аналі'!$C$2:$C$49,0)),IFERROR(INDEX('3_коефіцієнти_розширеного_аналі'!$O$2:$O$49,MATCH($B96,'3_коефіцієнти_розширеного_аналі'!$C$2:$C$49,0)),INDEX('2_Parameter_Scores'!$K$2:$K$34,MATCH($B96,'2_Parameter_Scores'!$B$2:$B$34,0))))),0)</f>
        <v>0.63916666666666677</v>
      </c>
      <c r="I96" s="137">
        <f>IFERROR(IF($C$70="ЕКСПРЕС",INDEX('2_Parameter_Scores'!$L$2:$L$34,MATCH($B96,'2_Parameter_Scores'!$B$2:$B$34,0)),IF($C$70="ПОВНЕ",INDEX('3_коефіцієнти_розширеного_аналі'!$P$2:$P$49,MATCH($B96,'3_коефіцієнти_розширеного_аналі'!$C$2:$C$49,0)),IFERROR(INDEX('3_коефіцієнти_розширеного_аналі'!$P$2:$P$49,MATCH($B96,'3_коефіцієнти_розширеного_аналі'!$C$2:$C$49,0)),INDEX('2_Parameter_Scores'!$L$2:$L$34,MATCH($B96,'2_Parameter_Scores'!$B$2:$B$34,0))))),0)</f>
        <v>0.76166666666666671</v>
      </c>
      <c r="J96" s="138">
        <f t="shared" si="4"/>
        <v>1</v>
      </c>
      <c r="K96" s="139">
        <f t="shared" si="5"/>
        <v>0.1</v>
      </c>
    </row>
    <row r="97" spans="1:14" ht="21.75" customHeight="1" x14ac:dyDescent="0.25">
      <c r="A97" s="133" t="s">
        <v>281</v>
      </c>
      <c r="B97" s="134" t="s">
        <v>195</v>
      </c>
      <c r="C97" s="135">
        <f>$F$26</f>
        <v>0.05</v>
      </c>
      <c r="D97" s="136" t="str">
        <f>IF($C$70="ЕКСПРЕС",IF(ISNUMBER(MATCH($B97,'2_Parameter_Scores'!$B$2:$B$34,0)),"Експрес (лист 2)","— немає"),IF($C$70="ПОВНЕ",IF(ISNUMBER(MATCH($B97,'3_коефіцієнти_розширеного_аналі'!$C$2:$C$49,0)),"Повне (лист 3)","— немає"),IF(ISNUMBER(MATCH($B97,'3_коефіцієнти_розширеного_аналі'!$C$2:$C$49,0)),"Повне (лист 3)",IF(ISNUMBER(MATCH($B97,'2_Parameter_Scores'!$B$2:$B$34,0)),"Експрес (лист 2)","— немає"))))</f>
        <v>Повне (лист 3)</v>
      </c>
      <c r="E97" s="137">
        <f>IFERROR(IF($C$70="ЕКСПРЕС",INDEX('2_Parameter_Scores'!$H$2:$H$34,MATCH($B97,'2_Parameter_Scores'!$B$2:$B$34,0)),IF($C$70="ПОВНЕ",INDEX('3_коефіцієнти_розширеного_аналі'!$L$2:$L$49,MATCH($B97,'3_коефіцієнти_розширеного_аналі'!$C$2:$C$49,0)),IFERROR(INDEX('3_коефіцієнти_розширеного_аналі'!$L$2:$L$49,MATCH($B97,'3_коефіцієнти_розширеного_аналі'!$C$2:$C$49,0)),INDEX('2_Parameter_Scores'!$H$2:$H$34,MATCH($B97,'2_Parameter_Scores'!$B$2:$B$34,0))))),0)</f>
        <v>0.18374999999999986</v>
      </c>
      <c r="F97" s="137">
        <f>IFERROR(IF($C$70="ЕКСПРЕС",INDEX('2_Parameter_Scores'!$I$2:$I$34,MATCH($B97,'2_Parameter_Scores'!$B$2:$B$34,0)),IF($C$70="ПОВНЕ",INDEX('3_коефіцієнти_розширеного_аналі'!$M$2:$M$49,MATCH($B97,'3_коефіцієнти_розширеного_аналі'!$C$2:$C$49,0)),IFERROR(INDEX('3_коефіцієнти_розширеного_аналі'!$M$2:$M$49,MATCH($B97,'3_коефіцієнти_розширеного_аналі'!$C$2:$C$49,0)),INDEX('2_Parameter_Scores'!$I$2:$I$34,MATCH($B97,'2_Parameter_Scores'!$B$2:$B$34,0))))),0)</f>
        <v>0.18000000000000016</v>
      </c>
      <c r="G97" s="137">
        <f>IFERROR(IF($C$70="ЕКСПРЕС",INDEX('2_Parameter_Scores'!$J$2:$J$34,MATCH($B97,'2_Parameter_Scores'!$B$2:$B$34,0)),IF($C$70="ПОВНЕ",INDEX('3_коефіцієнти_розширеного_аналі'!$N$2:$N$49,MATCH($B97,'3_коефіцієнти_розширеного_аналі'!$C$2:$C$49,0)),IFERROR(INDEX('3_коефіцієнти_розширеного_аналі'!$N$2:$N$49,MATCH($B97,'3_коефіцієнти_розширеного_аналі'!$C$2:$C$49,0)),INDEX('2_Parameter_Scores'!$J$2:$J$34,MATCH($B97,'2_Parameter_Scores'!$B$2:$B$34,0))))),0)</f>
        <v>0.38906250000000009</v>
      </c>
      <c r="H97" s="137">
        <f>IFERROR(IF($C$70="ЕКСПРЕС",INDEX('2_Parameter_Scores'!$K$2:$K$34,MATCH($B97,'2_Parameter_Scores'!$B$2:$B$34,0)),IF($C$70="ПОВНЕ",INDEX('3_коефіцієнти_розширеного_аналі'!$O$2:$O$49,MATCH($B97,'3_коефіцієнти_розширеного_аналі'!$C$2:$C$49,0)),IFERROR(INDEX('3_коефіцієнти_розширеного_аналі'!$O$2:$O$49,MATCH($B97,'3_коефіцієнти_розширеного_аналі'!$C$2:$C$49,0)),INDEX('2_Parameter_Scores'!$K$2:$K$34,MATCH($B97,'2_Parameter_Scores'!$B$2:$B$34,0))))),0)</f>
        <v>0.72562499999999996</v>
      </c>
      <c r="I97" s="137">
        <f>IFERROR(IF($C$70="ЕКСПРЕС",INDEX('2_Parameter_Scores'!$L$2:$L$34,MATCH($B97,'2_Parameter_Scores'!$B$2:$B$34,0)),IF($C$70="ПОВНЕ",INDEX('3_коефіцієнти_розширеного_аналі'!$P$2:$P$49,MATCH($B97,'3_коефіцієнти_розширеного_аналі'!$C$2:$C$49,0)),IFERROR(INDEX('3_коефіцієнти_розширеного_аналі'!$P$2:$P$49,MATCH($B97,'3_коефіцієнти_розширеного_аналі'!$C$2:$C$49,0)),INDEX('2_Parameter_Scores'!$L$2:$L$34,MATCH($B97,'2_Parameter_Scores'!$B$2:$B$34,0))))),0)</f>
        <v>0.76343750000000021</v>
      </c>
      <c r="J97" s="138">
        <f t="shared" si="4"/>
        <v>1</v>
      </c>
      <c r="K97" s="139">
        <f t="shared" si="5"/>
        <v>0.05</v>
      </c>
    </row>
    <row r="98" spans="1:14" ht="21.75" customHeight="1" x14ac:dyDescent="0.25">
      <c r="B98" s="140" t="s">
        <v>839</v>
      </c>
      <c r="C98" s="141">
        <f>SUMPRODUCT($C$90:$C$97,$J$90:$J$97)/SUM($C$90:$C$97)</f>
        <v>1</v>
      </c>
      <c r="D98" s="142" t="str">
        <f>COUNTIF($J$90:$J$97,1)&amp;" з "&amp;8&amp;" компонентів"</f>
        <v>8 з 8 компонентів</v>
      </c>
      <c r="K98" s="143">
        <f>SUM($K$90:$K$97)</f>
        <v>1</v>
      </c>
    </row>
    <row r="100" spans="1:14" ht="15" customHeight="1" x14ac:dyDescent="0.25">
      <c r="A100" s="357" t="s">
        <v>840</v>
      </c>
      <c r="B100" s="357"/>
      <c r="C100" s="357"/>
      <c r="D100" s="357"/>
      <c r="E100" s="357"/>
      <c r="F100" s="357"/>
      <c r="G100" s="357"/>
      <c r="H100" s="357"/>
      <c r="I100" s="357"/>
      <c r="J100" s="357"/>
      <c r="K100" s="357"/>
      <c r="L100" s="357"/>
      <c r="M100" s="357"/>
      <c r="N100" s="357"/>
    </row>
    <row r="101" spans="1:14" ht="30" customHeight="1" x14ac:dyDescent="0.25">
      <c r="A101" s="16" t="s">
        <v>833</v>
      </c>
      <c r="B101" s="16" t="s">
        <v>454</v>
      </c>
      <c r="C101" s="16" t="s">
        <v>221</v>
      </c>
      <c r="D101" s="16" t="s">
        <v>222</v>
      </c>
      <c r="E101" s="16" t="s">
        <v>223</v>
      </c>
      <c r="F101" s="16" t="s">
        <v>224</v>
      </c>
      <c r="G101" s="16" t="s">
        <v>225</v>
      </c>
      <c r="H101" s="16" t="s">
        <v>841</v>
      </c>
      <c r="I101" s="16" t="s">
        <v>842</v>
      </c>
    </row>
    <row r="102" spans="1:14" ht="15" customHeight="1" x14ac:dyDescent="0.25">
      <c r="A102" s="69" t="s">
        <v>269</v>
      </c>
      <c r="B102" s="144" t="str">
        <f>$C$4</f>
        <v>Індекс клінічної ефективності</v>
      </c>
      <c r="C102" s="93">
        <f>SUMPRODUCT($K$74:$K$81,E$74:E$81)</f>
        <v>6.8421773497668967E-2</v>
      </c>
      <c r="D102" s="93">
        <f>SUMPRODUCT($K$74:$K$81,F$74:F$81)</f>
        <v>0.24283341454065707</v>
      </c>
      <c r="E102" s="93">
        <f>SUMPRODUCT($K$74:$K$81,G$74:G$81)</f>
        <v>0.40408737345333268</v>
      </c>
      <c r="F102" s="93">
        <f>SUMPRODUCT($K$74:$K$81,H$74:H$81)</f>
        <v>0.58474757311825676</v>
      </c>
      <c r="G102" s="93">
        <f>SUMPRODUCT($K$74:$K$81,I$74:I$81)</f>
        <v>0.7718840274951706</v>
      </c>
      <c r="H102" s="94">
        <f>$C82</f>
        <v>1</v>
      </c>
      <c r="I102" s="72" t="str">
        <f>IF($H102&gt;=0.8,"Достовірно",IF($H102&gt;=0.6,"Обмежено","Недостатньо даних"))</f>
        <v>Достовірно</v>
      </c>
    </row>
    <row r="103" spans="1:14" ht="15" customHeight="1" x14ac:dyDescent="0.25">
      <c r="A103" s="69" t="s">
        <v>272</v>
      </c>
      <c r="B103" s="144" t="str">
        <f>$D$4</f>
        <v>Механістичний індекс</v>
      </c>
      <c r="C103" s="145">
        <f>'5_Mechanistic'!$C$19</f>
        <v>0.12727572427572426</v>
      </c>
      <c r="D103" s="145">
        <f>'5_Mechanistic'!$C$20</f>
        <v>0.24266650016650021</v>
      </c>
      <c r="E103" s="145">
        <f>'5_Mechanistic'!$C$21</f>
        <v>0.40956878538128544</v>
      </c>
      <c r="F103" s="145">
        <f>'5_Mechanistic'!$C$22</f>
        <v>0.52211775724275722</v>
      </c>
      <c r="G103" s="145">
        <f>'5_Mechanistic'!$C$23</f>
        <v>0.66959371878121876</v>
      </c>
      <c r="H103" s="146">
        <f>'5_Mechanistic'!$E$19</f>
        <v>1</v>
      </c>
      <c r="I103" s="72" t="str">
        <f>IF($H103&gt;=0.8,"Достовірно",IF($H103&gt;=0.6,"Обмежено","Недостатньо даних"))</f>
        <v>Достовірно</v>
      </c>
    </row>
    <row r="104" spans="1:14" ht="15" customHeight="1" x14ac:dyDescent="0.25">
      <c r="A104" s="69" t="s">
        <v>278</v>
      </c>
      <c r="B104" s="144" t="str">
        <f>$E$4</f>
        <v>Індекс функціонального відновлення</v>
      </c>
      <c r="C104" s="93">
        <f>SUMPRODUCT($K$83:$K$88,E$83:E$88)</f>
        <v>0.11959768725897764</v>
      </c>
      <c r="D104" s="93">
        <f>SUMPRODUCT($K$83:$K$88,F$83:F$88)</f>
        <v>0.31031700263683176</v>
      </c>
      <c r="E104" s="93">
        <f>SUMPRODUCT($K$83:$K$88,G$83:G$88)</f>
        <v>0.47791951574674529</v>
      </c>
      <c r="F104" s="93">
        <f>SUMPRODUCT($K$83:$K$88,H$83:H$88)</f>
        <v>0.64342449267999524</v>
      </c>
      <c r="G104" s="93">
        <f>SUMPRODUCT($K$83:$K$88,I$83:I$88)</f>
        <v>0.75958541221586739</v>
      </c>
      <c r="H104" s="94">
        <f>$C89</f>
        <v>1</v>
      </c>
      <c r="I104" s="72" t="str">
        <f>IF($H104&gt;=0.8,"Достовірно",IF($H104&gt;=0.6,"Обмежено","Недостатньо даних"))</f>
        <v>Достовірно</v>
      </c>
    </row>
    <row r="105" spans="1:14" ht="15" customHeight="1" x14ac:dyDescent="0.25">
      <c r="A105" s="69" t="s">
        <v>281</v>
      </c>
      <c r="B105" s="144" t="str">
        <f>$F$4</f>
        <v>Індекс модифікації патологічного процесу</v>
      </c>
      <c r="C105" s="93">
        <f>SUMPRODUCT($K$90:$K$97,E$90:E$97)</f>
        <v>0.11567968559218558</v>
      </c>
      <c r="D105" s="93">
        <f>SUMPRODUCT($K$90:$K$97,F$90:F$97)</f>
        <v>0.25081529304029304</v>
      </c>
      <c r="E105" s="93">
        <f>SUMPRODUCT($K$90:$K$97,G$90:G$97)</f>
        <v>0.40660666590354089</v>
      </c>
      <c r="F105" s="93">
        <f>SUMPRODUCT($K$90:$K$97,H$90:H$97)</f>
        <v>0.50635106074481073</v>
      </c>
      <c r="G105" s="93">
        <f>SUMPRODUCT($K$90:$K$97,I$90:I$97)</f>
        <v>0.65753875534188033</v>
      </c>
      <c r="H105" s="94">
        <f>$C98</f>
        <v>1</v>
      </c>
      <c r="I105" s="72" t="str">
        <f>IF($H105&gt;=0.8,"Достовірно",IF($H105&gt;=0.6,"Обмежено","Недостатньо даних"))</f>
        <v>Достовірно</v>
      </c>
    </row>
    <row r="106" spans="1:14" ht="15" customHeight="1" x14ac:dyDescent="0.25">
      <c r="B106" s="363" t="s">
        <v>843</v>
      </c>
      <c r="C106" s="363"/>
      <c r="D106" s="363"/>
      <c r="E106" s="363"/>
      <c r="F106" s="363"/>
      <c r="G106" s="363"/>
      <c r="H106" s="363"/>
      <c r="I106" s="363"/>
    </row>
    <row r="108" spans="1:14" ht="15" customHeight="1" x14ac:dyDescent="0.25">
      <c r="A108" s="357" t="s">
        <v>844</v>
      </c>
      <c r="B108" s="357"/>
      <c r="C108" s="357"/>
      <c r="D108" s="357"/>
      <c r="E108" s="357"/>
      <c r="F108" s="357"/>
      <c r="G108" s="357"/>
      <c r="H108" s="357"/>
      <c r="I108" s="357"/>
      <c r="J108" s="357"/>
      <c r="K108" s="357"/>
      <c r="L108" s="357"/>
      <c r="M108" s="357"/>
      <c r="N108" s="357"/>
    </row>
    <row r="109" spans="1:14" ht="30" customHeight="1" x14ac:dyDescent="0.25">
      <c r="A109" s="16" t="s">
        <v>121</v>
      </c>
      <c r="B109" s="16" t="s">
        <v>845</v>
      </c>
      <c r="C109" s="16" t="s">
        <v>221</v>
      </c>
      <c r="D109" s="16" t="s">
        <v>222</v>
      </c>
      <c r="E109" s="16" t="s">
        <v>223</v>
      </c>
      <c r="F109" s="16" t="s">
        <v>224</v>
      </c>
      <c r="G109" s="16" t="s">
        <v>225</v>
      </c>
      <c r="H109" s="16" t="s">
        <v>846</v>
      </c>
    </row>
    <row r="110" spans="1:14" ht="15" customHeight="1" x14ac:dyDescent="0.25">
      <c r="A110" s="69" t="s">
        <v>123</v>
      </c>
      <c r="B110" s="71">
        <v>0.3</v>
      </c>
      <c r="C110" s="74">
        <f>IFERROR(IF($C$70="ЕКСПРЕС",SUMPRODUCT(('2_Parameter_Scores'!$A$2:$A$34="Pain")*'2_Parameter_Scores'!$M$2:$M$34*'2_Parameter_Scores'!$H$2:$H$34)/SUMPRODUCT(('2_Parameter_Scores'!$A$2:$A$34="Pain")*'2_Parameter_Scores'!$M$2:$M$34),IF($C$70="ПОВНЕ",SUMPRODUCT(('3_коефіцієнти_розширеного_аналі'!$B$2:$B$49="Pain")*'3_коефіцієнти_розширеного_аналі'!$R$2:$R$49*'3_коефіцієнти_розширеного_аналі'!$L$2:$L$49)/SUMPRODUCT(('3_коефіцієнти_розширеного_аналі'!$B$2:$B$49="Pain")*'3_коефіцієнти_розширеного_аналі'!$R$2:$R$49),IFERROR(SUMPRODUCT(('3_коефіцієнти_розширеного_аналі'!$B$2:$B$49="Pain")*'3_коефіцієнти_розширеного_аналі'!$R$2:$R$49*'3_коефіцієнти_розширеного_аналі'!$L$2:$L$49)/SUMPRODUCT(('3_коефіцієнти_розширеного_аналі'!$B$2:$B$49="Pain")*'3_коефіцієнти_розширеного_аналі'!$R$2:$R$49),SUMPRODUCT(('2_Parameter_Scores'!$A$2:$A$34="Pain")*'2_Parameter_Scores'!$M$2:$M$34*'2_Parameter_Scores'!$H$2:$H$34)/SUMPRODUCT(('2_Parameter_Scores'!$A$2:$A$34="Pain")*'2_Parameter_Scores'!$M$2:$M$34)))),"")</f>
        <v>8.0313958695915622E-2</v>
      </c>
      <c r="D110" s="74">
        <f>IFERROR(IF($C$70="ЕКСПРЕС",SUMPRODUCT(('2_Parameter_Scores'!$A$2:$A$34="Pain")*'2_Parameter_Scores'!$M$2:$M$34*'2_Parameter_Scores'!$I$2:$I$34)/SUMPRODUCT(('2_Parameter_Scores'!$A$2:$A$34="Pain")*'2_Parameter_Scores'!$M$2:$M$34),IF($C$70="ПОВНЕ",SUMPRODUCT(('3_коефіцієнти_розширеного_аналі'!$B$2:$B$49="Pain")*'3_коефіцієнти_розширеного_аналі'!$R$2:$R$49*'3_коефіцієнти_розширеного_аналі'!$M$2:$M$49)/SUMPRODUCT(('3_коефіцієнти_розширеного_аналі'!$B$2:$B$49="Pain")*'3_коефіцієнти_розширеного_аналі'!$R$2:$R$49),IFERROR(SUMPRODUCT(('3_коефіцієнти_розширеного_аналі'!$B$2:$B$49="Pain")*'3_коефіцієнти_розширеного_аналі'!$R$2:$R$49*'3_коефіцієнти_розширеного_аналі'!$M$2:$M$49)/SUMPRODUCT(('3_коефіцієнти_розширеного_аналі'!$B$2:$B$49="Pain")*'3_коефіцієнти_розширеного_аналі'!$R$2:$R$49),SUMPRODUCT(('2_Parameter_Scores'!$A$2:$A$34="Pain")*'2_Parameter_Scores'!$M$2:$M$34*'2_Parameter_Scores'!$I$2:$I$34)/SUMPRODUCT(('2_Parameter_Scores'!$A$2:$A$34="Pain")*'2_Parameter_Scores'!$M$2:$M$34)))),"")</f>
        <v>0.27529076312033202</v>
      </c>
      <c r="E110" s="74">
        <f>IFERROR(IF($C$70="ЕКСПРЕС",SUMPRODUCT(('2_Parameter_Scores'!$A$2:$A$34="Pain")*'2_Parameter_Scores'!$M$2:$M$34*'2_Parameter_Scores'!$J$2:$J$34)/SUMPRODUCT(('2_Parameter_Scores'!$A$2:$A$34="Pain")*'2_Parameter_Scores'!$M$2:$M$34),IF($C$70="ПОВНЕ",SUMPRODUCT(('3_коефіцієнти_розширеного_аналі'!$B$2:$B$49="Pain")*'3_коефіцієнти_розширеного_аналі'!$R$2:$R$49*'3_коефіцієнти_розширеного_аналі'!$N$2:$N$49)/SUMPRODUCT(('3_коефіцієнти_розширеного_аналі'!$B$2:$B$49="Pain")*'3_коефіцієнти_розширеного_аналі'!$R$2:$R$49),IFERROR(SUMPRODUCT(('3_коефіцієнти_розширеного_аналі'!$B$2:$B$49="Pain")*'3_коефіцієнти_розширеного_аналі'!$R$2:$R$49*'3_коефіцієнти_розширеного_аналі'!$N$2:$N$49)/SUMPRODUCT(('3_коефіцієнти_розширеного_аналі'!$B$2:$B$49="Pain")*'3_коефіцієнти_розширеного_аналі'!$R$2:$R$49),SUMPRODUCT(('2_Parameter_Scores'!$A$2:$A$34="Pain")*'2_Parameter_Scores'!$M$2:$M$34*'2_Parameter_Scores'!$J$2:$J$34)/SUMPRODUCT(('2_Parameter_Scores'!$A$2:$A$34="Pain")*'2_Parameter_Scores'!$M$2:$M$34)))),"")</f>
        <v>0.44284466440026971</v>
      </c>
      <c r="F110" s="74">
        <f>IFERROR(IF($C$70="ЕКСПРЕС",SUMPRODUCT(('2_Parameter_Scores'!$A$2:$A$34="Pain")*'2_Parameter_Scores'!$M$2:$M$34*'2_Parameter_Scores'!$K$2:$K$34)/SUMPRODUCT(('2_Parameter_Scores'!$A$2:$A$34="Pain")*'2_Parameter_Scores'!$M$2:$M$34),IF($C$70="ПОВНЕ",SUMPRODUCT(('3_коефіцієнти_розширеного_аналі'!$B$2:$B$49="Pain")*'3_коефіцієнти_розширеного_аналі'!$R$2:$R$49*'3_коефіцієнти_розширеного_аналі'!$O$2:$O$49)/SUMPRODUCT(('3_коефіцієнти_розширеного_аналі'!$B$2:$B$49="Pain")*'3_коефіцієнти_розширеного_аналі'!$R$2:$R$49),IFERROR(SUMPRODUCT(('3_коефіцієнти_розширеного_аналі'!$B$2:$B$49="Pain")*'3_коефіцієнти_розширеного_аналі'!$R$2:$R$49*'3_коефіцієнти_розширеного_аналі'!$O$2:$O$49)/SUMPRODUCT(('3_коефіцієнти_розширеного_аналі'!$B$2:$B$49="Pain")*'3_коефіцієнти_розширеного_аналі'!$R$2:$R$49),SUMPRODUCT(('2_Parameter_Scores'!$A$2:$A$34="Pain")*'2_Parameter_Scores'!$M$2:$M$34*'2_Parameter_Scores'!$K$2:$K$34)/SUMPRODUCT(('2_Parameter_Scores'!$A$2:$A$34="Pain")*'2_Parameter_Scores'!$M$2:$M$34)))),"")</f>
        <v>0.63249222869575084</v>
      </c>
      <c r="G110" s="74">
        <f>IFERROR(IF($C$70="ЕКСПРЕС",SUMPRODUCT(('2_Parameter_Scores'!$A$2:$A$34="Pain")*'2_Parameter_Scores'!$M$2:$M$34*'2_Parameter_Scores'!$L$2:$L$34)/SUMPRODUCT(('2_Parameter_Scores'!$A$2:$A$34="Pain")*'2_Parameter_Scores'!$M$2:$M$34),IF($C$70="ПОВНЕ",SUMPRODUCT(('3_коефіцієнти_розширеного_аналі'!$B$2:$B$49="Pain")*'3_коефіцієнти_розширеного_аналі'!$R$2:$R$49*'3_коефіцієнти_розширеного_аналі'!$P$2:$P$49)/SUMPRODUCT(('3_коефіцієнти_розширеного_аналі'!$B$2:$B$49="Pain")*'3_коефіцієнти_розширеного_аналі'!$R$2:$R$49),IFERROR(SUMPRODUCT(('3_коефіцієнти_розширеного_аналі'!$B$2:$B$49="Pain")*'3_коефіцієнти_розширеного_аналі'!$R$2:$R$49*'3_коефіцієнти_розширеного_аналі'!$P$2:$P$49)/SUMPRODUCT(('3_коефіцієнти_розширеного_аналі'!$B$2:$B$49="Pain")*'3_коефіцієнти_розширеного_аналі'!$R$2:$R$49),SUMPRODUCT(('2_Parameter_Scores'!$A$2:$A$34="Pain")*'2_Parameter_Scores'!$M$2:$M$34*'2_Parameter_Scores'!$L$2:$L$34)/SUMPRODUCT(('2_Parameter_Scores'!$A$2:$A$34="Pain")*'2_Parameter_Scores'!$M$2:$M$34)))),"")</f>
        <v>0.77486566087358666</v>
      </c>
      <c r="H110" s="75">
        <f>IF($C$70="ЕКСПРЕС",COUNTIF('2_Parameter_Scores'!$A$2:$A$34,"Pain"),COUNTIF('3_коефіцієнти_розширеного_аналі'!$B$2:$B$49,"Pain"))</f>
        <v>7</v>
      </c>
    </row>
    <row r="111" spans="1:14" ht="15" customHeight="1" x14ac:dyDescent="0.25">
      <c r="A111" s="69" t="s">
        <v>125</v>
      </c>
      <c r="B111" s="71">
        <v>0.25</v>
      </c>
      <c r="C111" s="74">
        <f>IFERROR(IF($C$70="ЕКСПРЕС",SUMPRODUCT(('2_Parameter_Scores'!$A$2:$A$34="Neuro")*'2_Parameter_Scores'!$M$2:$M$34*'2_Parameter_Scores'!$H$2:$H$34)/SUMPRODUCT(('2_Parameter_Scores'!$A$2:$A$34="Neuro")*'2_Parameter_Scores'!$M$2:$M$34),IF($C$70="ПОВНЕ",SUMPRODUCT(('3_коефіцієнти_розширеного_аналі'!$B$2:$B$49="Neuro")*'3_коефіцієнти_розширеного_аналі'!$R$2:$R$49*'3_коефіцієнти_розширеного_аналі'!$L$2:$L$49)/SUMPRODUCT(('3_коефіцієнти_розширеного_аналі'!$B$2:$B$49="Neuro")*'3_коефіцієнти_розширеного_аналі'!$R$2:$R$49),IFERROR(SUMPRODUCT(('3_коефіцієнти_розширеного_аналі'!$B$2:$B$49="Neuro")*'3_коефіцієнти_розширеного_аналі'!$R$2:$R$49*'3_коефіцієнти_розширеного_аналі'!$L$2:$L$49)/SUMPRODUCT(('3_коефіцієнти_розширеного_аналі'!$B$2:$B$49="Neuro")*'3_коефіцієнти_розширеного_аналі'!$R$2:$R$49),SUMPRODUCT(('2_Parameter_Scores'!$A$2:$A$34="Neuro")*'2_Parameter_Scores'!$M$2:$M$34*'2_Parameter_Scores'!$H$2:$H$34)/SUMPRODUCT(('2_Parameter_Scores'!$A$2:$A$34="Neuro")*'2_Parameter_Scores'!$M$2:$M$34)))),"")</f>
        <v>9.8194956390588409E-2</v>
      </c>
      <c r="D111" s="74">
        <f>IFERROR(IF($C$70="ЕКСПРЕС",SUMPRODUCT(('2_Parameter_Scores'!$A$2:$A$34="Neuro")*'2_Parameter_Scores'!$M$2:$M$34*'2_Parameter_Scores'!$I$2:$I$34)/SUMPRODUCT(('2_Parameter_Scores'!$A$2:$A$34="Neuro")*'2_Parameter_Scores'!$M$2:$M$34),IF($C$70="ПОВНЕ",SUMPRODUCT(('3_коефіцієнти_розширеного_аналі'!$B$2:$B$49="Neuro")*'3_коефіцієнти_розширеного_аналі'!$R$2:$R$49*'3_коефіцієнти_розширеного_аналі'!$M$2:$M$49)/SUMPRODUCT(('3_коефіцієнти_розширеного_аналі'!$B$2:$B$49="Neuro")*'3_коефіцієнти_розширеного_аналі'!$R$2:$R$49),IFERROR(SUMPRODUCT(('3_коефіцієнти_розширеного_аналі'!$B$2:$B$49="Neuro")*'3_коефіцієнти_розширеного_аналі'!$R$2:$R$49*'3_коефіцієнти_розширеного_аналі'!$M$2:$M$49)/SUMPRODUCT(('3_коефіцієнти_розширеного_аналі'!$B$2:$B$49="Neuro")*'3_коефіцієнти_розширеного_аналі'!$R$2:$R$49),SUMPRODUCT(('2_Parameter_Scores'!$A$2:$A$34="Neuro")*'2_Parameter_Scores'!$M$2:$M$34*'2_Parameter_Scores'!$I$2:$I$34)/SUMPRODUCT(('2_Parameter_Scores'!$A$2:$A$34="Neuro")*'2_Parameter_Scores'!$M$2:$M$34)))),"")</f>
        <v>0.24515694160638435</v>
      </c>
      <c r="E111" s="74">
        <f>IFERROR(IF($C$70="ЕКСПРЕС",SUMPRODUCT(('2_Parameter_Scores'!$A$2:$A$34="Neuro")*'2_Parameter_Scores'!$M$2:$M$34*'2_Parameter_Scores'!$J$2:$J$34)/SUMPRODUCT(('2_Parameter_Scores'!$A$2:$A$34="Neuro")*'2_Parameter_Scores'!$M$2:$M$34),IF($C$70="ПОВНЕ",SUMPRODUCT(('3_коефіцієнти_розширеного_аналі'!$B$2:$B$49="Neuro")*'3_коефіцієнти_розширеного_аналі'!$R$2:$R$49*'3_коефіцієнти_розширеного_аналі'!$N$2:$N$49)/SUMPRODUCT(('3_коефіцієнти_розширеного_аналі'!$B$2:$B$49="Neuro")*'3_коефіцієнти_розширеного_аналі'!$R$2:$R$49),IFERROR(SUMPRODUCT(('3_коефіцієнти_розширеного_аналі'!$B$2:$B$49="Neuro")*'3_коефіцієнти_розширеного_аналі'!$R$2:$R$49*'3_коефіцієнти_розширеного_аналі'!$N$2:$N$49)/SUMPRODUCT(('3_коефіцієнти_розширеного_аналі'!$B$2:$B$49="Neuro")*'3_коефіцієнти_розширеного_аналі'!$R$2:$R$49),SUMPRODUCT(('2_Parameter_Scores'!$A$2:$A$34="Neuro")*'2_Parameter_Scores'!$M$2:$M$34*'2_Parameter_Scores'!$J$2:$J$34)/SUMPRODUCT(('2_Parameter_Scores'!$A$2:$A$34="Neuro")*'2_Parameter_Scores'!$M$2:$M$34)))),"")</f>
        <v>0.4048534826079872</v>
      </c>
      <c r="F111" s="74">
        <f>IFERROR(IF($C$70="ЕКСПРЕС",SUMPRODUCT(('2_Parameter_Scores'!$A$2:$A$34="Neuro")*'2_Parameter_Scores'!$M$2:$M$34*'2_Parameter_Scores'!$K$2:$K$34)/SUMPRODUCT(('2_Parameter_Scores'!$A$2:$A$34="Neuro")*'2_Parameter_Scores'!$M$2:$M$34),IF($C$70="ПОВНЕ",SUMPRODUCT(('3_коефіцієнти_розширеного_аналі'!$B$2:$B$49="Neuro")*'3_коефіцієнти_розширеного_аналі'!$R$2:$R$49*'3_коефіцієнти_розширеного_аналі'!$O$2:$O$49)/SUMPRODUCT(('3_коефіцієнти_розширеного_аналі'!$B$2:$B$49="Neuro")*'3_коефіцієнти_розширеного_аналі'!$R$2:$R$49),IFERROR(SUMPRODUCT(('3_коефіцієнти_розширеного_аналі'!$B$2:$B$49="Neuro")*'3_коефіцієнти_розширеного_аналі'!$R$2:$R$49*'3_коефіцієнти_розширеного_аналі'!$O$2:$O$49)/SUMPRODUCT(('3_коефіцієнти_розширеного_аналі'!$B$2:$B$49="Neuro")*'3_коефіцієнти_розширеного_аналі'!$R$2:$R$49),SUMPRODUCT(('2_Parameter_Scores'!$A$2:$A$34="Neuro")*'2_Parameter_Scores'!$M$2:$M$34*'2_Parameter_Scores'!$K$2:$K$34)/SUMPRODUCT(('2_Parameter_Scores'!$A$2:$A$34="Neuro")*'2_Parameter_Scores'!$M$2:$M$34)))),"")</f>
        <v>0.55094563112295947</v>
      </c>
      <c r="G111" s="74">
        <f>IFERROR(IF($C$70="ЕКСПРЕС",SUMPRODUCT(('2_Parameter_Scores'!$A$2:$A$34="Neuro")*'2_Parameter_Scores'!$M$2:$M$34*'2_Parameter_Scores'!$L$2:$L$34)/SUMPRODUCT(('2_Parameter_Scores'!$A$2:$A$34="Neuro")*'2_Parameter_Scores'!$M$2:$M$34),IF($C$70="ПОВНЕ",SUMPRODUCT(('3_коефіцієнти_розширеного_аналі'!$B$2:$B$49="Neuro")*'3_коефіцієнти_розширеного_аналі'!$R$2:$R$49*'3_коефіцієнти_розширеного_аналі'!$P$2:$P$49)/SUMPRODUCT(('3_коефіцієнти_розширеного_аналі'!$B$2:$B$49="Neuro")*'3_коефіцієнти_розширеного_аналі'!$R$2:$R$49),IFERROR(SUMPRODUCT(('3_коефіцієнти_розширеного_аналі'!$B$2:$B$49="Neuro")*'3_коефіцієнти_розширеного_аналі'!$R$2:$R$49*'3_коефіцієнти_розширеного_аналі'!$P$2:$P$49)/SUMPRODUCT(('3_коефіцієнти_розширеного_аналі'!$B$2:$B$49="Neuro")*'3_коефіцієнти_розширеного_аналі'!$R$2:$R$49),SUMPRODUCT(('2_Parameter_Scores'!$A$2:$A$34="Neuro")*'2_Parameter_Scores'!$M$2:$M$34*'2_Parameter_Scores'!$L$2:$L$34)/SUMPRODUCT(('2_Parameter_Scores'!$A$2:$A$34="Neuro")*'2_Parameter_Scores'!$M$2:$M$34)))),"")</f>
        <v>0.74017941535315135</v>
      </c>
      <c r="H111" s="75">
        <f>IF($C$70="ЕКСПРЕС",COUNTIF('2_Parameter_Scores'!$A$2:$A$34,"Neuro"),COUNTIF('3_коефіцієнти_розширеного_аналі'!$B$2:$B$49,"Neuro"))</f>
        <v>12</v>
      </c>
    </row>
    <row r="112" spans="1:14" ht="15" customHeight="1" x14ac:dyDescent="0.25">
      <c r="A112" s="69" t="s">
        <v>127</v>
      </c>
      <c r="B112" s="71">
        <v>0.15</v>
      </c>
      <c r="C112" s="74">
        <f>IFERROR(IF($C$70="ЕКСПРЕС",SUMPRODUCT(('2_Parameter_Scores'!$A$2:$A$34="ANS")*'2_Parameter_Scores'!$M$2:$M$34*'2_Parameter_Scores'!$H$2:$H$34)/SUMPRODUCT(('2_Parameter_Scores'!$A$2:$A$34="ANS")*'2_Parameter_Scores'!$M$2:$M$34),IF($C$70="ПОВНЕ",SUMPRODUCT(('3_коефіцієнти_розширеного_аналі'!$B$2:$B$49="ANS")*'3_коефіцієнти_розширеного_аналі'!$R$2:$R$49*'3_коефіцієнти_розширеного_аналі'!$L$2:$L$49)/SUMPRODUCT(('3_коефіцієнти_розширеного_аналі'!$B$2:$B$49="ANS")*'3_коефіцієнти_розширеного_аналі'!$R$2:$R$49),IFERROR(SUMPRODUCT(('3_коефіцієнти_розширеного_аналі'!$B$2:$B$49="ANS")*'3_коефіцієнти_розширеного_аналі'!$R$2:$R$49*'3_коефіцієнти_розширеного_аналі'!$L$2:$L$49)/SUMPRODUCT(('3_коефіцієнти_розширеного_аналі'!$B$2:$B$49="ANS")*'3_коефіцієнти_розширеного_аналі'!$R$2:$R$49),SUMPRODUCT(('2_Parameter_Scores'!$A$2:$A$34="ANS")*'2_Parameter_Scores'!$M$2:$M$34*'2_Parameter_Scores'!$H$2:$H$34)/SUMPRODUCT(('2_Parameter_Scores'!$A$2:$A$34="ANS")*'2_Parameter_Scores'!$M$2:$M$34)))),"")</f>
        <v>0.1648905718396996</v>
      </c>
      <c r="D112" s="74">
        <f>IFERROR(IF($C$70="ЕКСПРЕС",SUMPRODUCT(('2_Parameter_Scores'!$A$2:$A$34="ANS")*'2_Parameter_Scores'!$M$2:$M$34*'2_Parameter_Scores'!$I$2:$I$34)/SUMPRODUCT(('2_Parameter_Scores'!$A$2:$A$34="ANS")*'2_Parameter_Scores'!$M$2:$M$34),IF($C$70="ПОВНЕ",SUMPRODUCT(('3_коефіцієнти_розширеного_аналі'!$B$2:$B$49="ANS")*'3_коефіцієнти_розширеного_аналі'!$R$2:$R$49*'3_коефіцієнти_розширеного_аналі'!$M$2:$M$49)/SUMPRODUCT(('3_коефіцієнти_розширеного_аналі'!$B$2:$B$49="ANS")*'3_коефіцієнти_розширеного_аналі'!$R$2:$R$49),IFERROR(SUMPRODUCT(('3_коефіцієнти_розширеного_аналі'!$B$2:$B$49="ANS")*'3_коефіцієнти_розширеного_аналі'!$R$2:$R$49*'3_коефіцієнти_розширеного_аналі'!$M$2:$M$49)/SUMPRODUCT(('3_коефіцієнти_розширеного_аналі'!$B$2:$B$49="ANS")*'3_коефіцієнти_розширеного_аналі'!$R$2:$R$49),SUMPRODUCT(('2_Parameter_Scores'!$A$2:$A$34="ANS")*'2_Parameter_Scores'!$M$2:$M$34*'2_Parameter_Scores'!$I$2:$I$34)/SUMPRODUCT(('2_Parameter_Scores'!$A$2:$A$34="ANS")*'2_Parameter_Scores'!$M$2:$M$34)))),"")</f>
        <v>0.27382733086161087</v>
      </c>
      <c r="E112" s="74">
        <f>IFERROR(IF($C$70="ЕКСПРЕС",SUMPRODUCT(('2_Parameter_Scores'!$A$2:$A$34="ANS")*'2_Parameter_Scores'!$M$2:$M$34*'2_Parameter_Scores'!$J$2:$J$34)/SUMPRODUCT(('2_Parameter_Scores'!$A$2:$A$34="ANS")*'2_Parameter_Scores'!$M$2:$M$34),IF($C$70="ПОВНЕ",SUMPRODUCT(('3_коефіцієнти_розширеного_аналі'!$B$2:$B$49="ANS")*'3_коефіцієнти_розширеного_аналі'!$R$2:$R$49*'3_коефіцієнти_розширеного_аналі'!$N$2:$N$49)/SUMPRODUCT(('3_коефіцієнти_розширеного_аналі'!$B$2:$B$49="ANS")*'3_коефіцієнти_розширеного_аналі'!$R$2:$R$49),IFERROR(SUMPRODUCT(('3_коефіцієнти_розширеного_аналі'!$B$2:$B$49="ANS")*'3_коефіцієнти_розширеного_аналі'!$R$2:$R$49*'3_коефіцієнти_розширеного_аналі'!$N$2:$N$49)/SUMPRODUCT(('3_коефіцієнти_розширеного_аналі'!$B$2:$B$49="ANS")*'3_коефіцієнти_розширеного_аналі'!$R$2:$R$49),SUMPRODUCT(('2_Parameter_Scores'!$A$2:$A$34="ANS")*'2_Parameter_Scores'!$M$2:$M$34*'2_Parameter_Scores'!$J$2:$J$34)/SUMPRODUCT(('2_Parameter_Scores'!$A$2:$A$34="ANS")*'2_Parameter_Scores'!$M$2:$M$34)))),"")</f>
        <v>0.46136783136066095</v>
      </c>
      <c r="F112" s="74">
        <f>IFERROR(IF($C$70="ЕКСПРЕС",SUMPRODUCT(('2_Parameter_Scores'!$A$2:$A$34="ANS")*'2_Parameter_Scores'!$M$2:$M$34*'2_Parameter_Scores'!$K$2:$K$34)/SUMPRODUCT(('2_Parameter_Scores'!$A$2:$A$34="ANS")*'2_Parameter_Scores'!$M$2:$M$34),IF($C$70="ПОВНЕ",SUMPRODUCT(('3_коефіцієнти_розширеного_аналі'!$B$2:$B$49="ANS")*'3_коефіцієнти_розширеного_аналі'!$R$2:$R$49*'3_коефіцієнти_розширеного_аналі'!$O$2:$O$49)/SUMPRODUCT(('3_коефіцієнти_розширеного_аналі'!$B$2:$B$49="ANS")*'3_коефіцієнти_розширеного_аналі'!$R$2:$R$49),IFERROR(SUMPRODUCT(('3_коефіцієнти_розширеного_аналі'!$B$2:$B$49="ANS")*'3_коефіцієнти_розширеного_аналі'!$R$2:$R$49*'3_коефіцієнти_розширеного_аналі'!$O$2:$O$49)/SUMPRODUCT(('3_коефіцієнти_розширеного_аналі'!$B$2:$B$49="ANS")*'3_коефіцієнти_розширеного_аналі'!$R$2:$R$49),SUMPRODUCT(('2_Parameter_Scores'!$A$2:$A$34="ANS")*'2_Parameter_Scores'!$M$2:$M$34*'2_Parameter_Scores'!$K$2:$K$34)/SUMPRODUCT(('2_Parameter_Scores'!$A$2:$A$34="ANS")*'2_Parameter_Scores'!$M$2:$M$34)))),"")</f>
        <v>0.55770300132254491</v>
      </c>
      <c r="G112" s="74">
        <f>IFERROR(IF($C$70="ЕКСПРЕС",SUMPRODUCT(('2_Parameter_Scores'!$A$2:$A$34="ANS")*'2_Parameter_Scores'!$M$2:$M$34*'2_Parameter_Scores'!$L$2:$L$34)/SUMPRODUCT(('2_Parameter_Scores'!$A$2:$A$34="ANS")*'2_Parameter_Scores'!$M$2:$M$34),IF($C$70="ПОВНЕ",SUMPRODUCT(('3_коефіцієнти_розширеного_аналі'!$B$2:$B$49="ANS")*'3_коефіцієнти_розширеного_аналі'!$R$2:$R$49*'3_коефіцієнти_розширеного_аналі'!$P$2:$P$49)/SUMPRODUCT(('3_коефіцієнти_розширеного_аналі'!$B$2:$B$49="ANS")*'3_коефіцієнти_розширеного_аналі'!$R$2:$R$49),IFERROR(SUMPRODUCT(('3_коефіцієнти_розширеного_аналі'!$B$2:$B$49="ANS")*'3_коефіцієнти_розширеного_аналі'!$R$2:$R$49*'3_коефіцієнти_розширеного_аналі'!$P$2:$P$49)/SUMPRODUCT(('3_коефіцієнти_розширеного_аналі'!$B$2:$B$49="ANS")*'3_коефіцієнти_розширеного_аналі'!$R$2:$R$49),SUMPRODUCT(('2_Parameter_Scores'!$A$2:$A$34="ANS")*'2_Parameter_Scores'!$M$2:$M$34*'2_Parameter_Scores'!$L$2:$L$34)/SUMPRODUCT(('2_Parameter_Scores'!$A$2:$A$34="ANS")*'2_Parameter_Scores'!$M$2:$M$34)))),"")</f>
        <v>0.72982881712720449</v>
      </c>
      <c r="H112" s="75">
        <f>IF($C$70="ЕКСПРЕС",COUNTIF('2_Parameter_Scores'!$A$2:$A$34,"ANS"),COUNTIF('3_коефіцієнти_розширеного_аналі'!$B$2:$B$49,"ANS"))</f>
        <v>9</v>
      </c>
    </row>
    <row r="113" spans="1:14" ht="15" customHeight="1" x14ac:dyDescent="0.25">
      <c r="A113" s="69" t="s">
        <v>129</v>
      </c>
      <c r="B113" s="71">
        <v>0.2</v>
      </c>
      <c r="C113" s="74">
        <f>IFERROR(IF($C$70="ЕКСПРЕС",SUMPRODUCT(('2_Parameter_Scores'!$A$2:$A$34="Function")*'2_Parameter_Scores'!$M$2:$M$34*'2_Parameter_Scores'!$H$2:$H$34)/SUMPRODUCT(('2_Parameter_Scores'!$A$2:$A$34="Function")*'2_Parameter_Scores'!$M$2:$M$34),IF($C$70="ПОВНЕ",SUMPRODUCT(('3_коефіцієнти_розширеного_аналі'!$B$2:$B$49="Function")*'3_коефіцієнти_розширеного_аналі'!$R$2:$R$49*'3_коефіцієнти_розширеного_аналі'!$L$2:$L$49)/SUMPRODUCT(('3_коефіцієнти_розширеного_аналі'!$B$2:$B$49="Function")*'3_коефіцієнти_розширеного_аналі'!$R$2:$R$49),IFERROR(SUMPRODUCT(('3_коефіцієнти_розширеного_аналі'!$B$2:$B$49="Function")*'3_коефіцієнти_розширеного_аналі'!$R$2:$R$49*'3_коефіцієнти_розширеного_аналі'!$L$2:$L$49)/SUMPRODUCT(('3_коефіцієнти_розширеного_аналі'!$B$2:$B$49="Function")*'3_коефіцієнти_розширеного_аналі'!$R$2:$R$49),SUMPRODUCT(('2_Parameter_Scores'!$A$2:$A$34="Function")*'2_Parameter_Scores'!$M$2:$M$34*'2_Parameter_Scores'!$H$2:$H$34)/SUMPRODUCT(('2_Parameter_Scores'!$A$2:$A$34="Function")*'2_Parameter_Scores'!$M$2:$M$34)))),"")</f>
        <v>0.12486117436023102</v>
      </c>
      <c r="D113" s="74">
        <f>IFERROR(IF($C$70="ЕКСПРЕС",SUMPRODUCT(('2_Parameter_Scores'!$A$2:$A$34="Function")*'2_Parameter_Scores'!$M$2:$M$34*'2_Parameter_Scores'!$I$2:$I$34)/SUMPRODUCT(('2_Parameter_Scores'!$A$2:$A$34="Function")*'2_Parameter_Scores'!$M$2:$M$34),IF($C$70="ПОВНЕ",SUMPRODUCT(('3_коефіцієнти_розширеного_аналі'!$B$2:$B$49="Function")*'3_коефіцієнти_розширеного_аналі'!$R$2:$R$49*'3_коефіцієнти_розширеного_аналі'!$M$2:$M$49)/SUMPRODUCT(('3_коефіцієнти_розширеного_аналі'!$B$2:$B$49="Function")*'3_коефіцієнти_розширеного_аналі'!$R$2:$R$49),IFERROR(SUMPRODUCT(('3_коефіцієнти_розширеного_аналі'!$B$2:$B$49="Function")*'3_коефіцієнти_розширеного_аналі'!$R$2:$R$49*'3_коефіцієнти_розширеного_аналі'!$M$2:$M$49)/SUMPRODUCT(('3_коефіцієнти_розширеного_аналі'!$B$2:$B$49="Function")*'3_коефіцієнти_розширеного_аналі'!$R$2:$R$49),SUMPRODUCT(('2_Parameter_Scores'!$A$2:$A$34="Function")*'2_Parameter_Scores'!$M$2:$M$34*'2_Parameter_Scores'!$I$2:$I$34)/SUMPRODUCT(('2_Parameter_Scores'!$A$2:$A$34="Function")*'2_Parameter_Scores'!$M$2:$M$34)))),"")</f>
        <v>0.29235764078072624</v>
      </c>
      <c r="E113" s="74">
        <f>IFERROR(IF($C$70="ЕКСПРЕС",SUMPRODUCT(('2_Parameter_Scores'!$A$2:$A$34="Function")*'2_Parameter_Scores'!$M$2:$M$34*'2_Parameter_Scores'!$J$2:$J$34)/SUMPRODUCT(('2_Parameter_Scores'!$A$2:$A$34="Function")*'2_Parameter_Scores'!$M$2:$M$34),IF($C$70="ПОВНЕ",SUMPRODUCT(('3_коефіцієнти_розширеного_аналі'!$B$2:$B$49="Function")*'3_коефіцієнти_розширеного_аналі'!$R$2:$R$49*'3_коефіцієнти_розширеного_аналі'!$N$2:$N$49)/SUMPRODUCT(('3_коефіцієнти_розширеного_аналі'!$B$2:$B$49="Function")*'3_коефіцієнти_розширеного_аналі'!$R$2:$R$49),IFERROR(SUMPRODUCT(('3_коефіцієнти_розширеного_аналі'!$B$2:$B$49="Function")*'3_коефіцієнти_розширеного_аналі'!$R$2:$R$49*'3_коефіцієнти_розширеного_аналі'!$N$2:$N$49)/SUMPRODUCT(('3_коефіцієнти_розширеного_аналі'!$B$2:$B$49="Function")*'3_коефіцієнти_розширеного_аналі'!$R$2:$R$49),SUMPRODUCT(('2_Parameter_Scores'!$A$2:$A$34="Function")*'2_Parameter_Scores'!$M$2:$M$34*'2_Parameter_Scores'!$J$2:$J$34)/SUMPRODUCT(('2_Parameter_Scores'!$A$2:$A$34="Function")*'2_Parameter_Scores'!$M$2:$M$34)))),"")</f>
        <v>0.4675751543868637</v>
      </c>
      <c r="F113" s="74">
        <f>IFERROR(IF($C$70="ЕКСПРЕС",SUMPRODUCT(('2_Parameter_Scores'!$A$2:$A$34="Function")*'2_Parameter_Scores'!$M$2:$M$34*'2_Parameter_Scores'!$K$2:$K$34)/SUMPRODUCT(('2_Parameter_Scores'!$A$2:$A$34="Function")*'2_Parameter_Scores'!$M$2:$M$34),IF($C$70="ПОВНЕ",SUMPRODUCT(('3_коефіцієнти_розширеного_аналі'!$B$2:$B$49="Function")*'3_коефіцієнти_розширеного_аналі'!$R$2:$R$49*'3_коефіцієнти_розширеного_аналі'!$O$2:$O$49)/SUMPRODUCT(('3_коефіцієнти_розширеного_аналі'!$B$2:$B$49="Function")*'3_коефіцієнти_розширеного_аналі'!$R$2:$R$49),IFERROR(SUMPRODUCT(('3_коефіцієнти_розширеного_аналі'!$B$2:$B$49="Function")*'3_коефіцієнти_розширеного_аналі'!$R$2:$R$49*'3_коефіцієнти_розширеного_аналі'!$O$2:$O$49)/SUMPRODUCT(('3_коефіцієнти_розширеного_аналі'!$B$2:$B$49="Function")*'3_коефіцієнти_розширеного_аналі'!$R$2:$R$49),SUMPRODUCT(('2_Parameter_Scores'!$A$2:$A$34="Function")*'2_Parameter_Scores'!$M$2:$M$34*'2_Parameter_Scores'!$K$2:$K$34)/SUMPRODUCT(('2_Parameter_Scores'!$A$2:$A$34="Function")*'2_Parameter_Scores'!$M$2:$M$34)))),"")</f>
        <v>0.65103678063211923</v>
      </c>
      <c r="G113" s="74">
        <f>IFERROR(IF($C$70="ЕКСПРЕС",SUMPRODUCT(('2_Parameter_Scores'!$A$2:$A$34="Function")*'2_Parameter_Scores'!$M$2:$M$34*'2_Parameter_Scores'!$L$2:$L$34)/SUMPRODUCT(('2_Parameter_Scores'!$A$2:$A$34="Function")*'2_Parameter_Scores'!$M$2:$M$34),IF($C$70="ПОВНЕ",SUMPRODUCT(('3_коефіцієнти_розширеного_аналі'!$B$2:$B$49="Function")*'3_коефіцієнти_розширеного_аналі'!$R$2:$R$49*'3_коефіцієнти_розширеного_аналі'!$P$2:$P$49)/SUMPRODUCT(('3_коефіцієнти_розширеного_аналі'!$B$2:$B$49="Function")*'3_коефіцієнти_розширеного_аналі'!$R$2:$R$49),IFERROR(SUMPRODUCT(('3_коефіцієнти_розширеного_аналі'!$B$2:$B$49="Function")*'3_коефіцієнти_розширеного_аналі'!$R$2:$R$49*'3_коефіцієнти_розширеного_аналі'!$P$2:$P$49)/SUMPRODUCT(('3_коефіцієнти_розширеного_аналі'!$B$2:$B$49="Function")*'3_коефіцієнти_розширеного_аналі'!$R$2:$R$49),SUMPRODUCT(('2_Parameter_Scores'!$A$2:$A$34="Function")*'2_Parameter_Scores'!$M$2:$M$34*'2_Parameter_Scores'!$L$2:$L$34)/SUMPRODUCT(('2_Parameter_Scores'!$A$2:$A$34="Function")*'2_Parameter_Scores'!$M$2:$M$34)))),"")</f>
        <v>0.76595520913295612</v>
      </c>
      <c r="H113" s="75">
        <f>IF($C$70="ЕКСПРЕС",COUNTIF('2_Parameter_Scores'!$A$2:$A$34,"Function"),COUNTIF('3_коефіцієнти_розширеного_аналі'!$B$2:$B$49,"Function"))</f>
        <v>7</v>
      </c>
    </row>
    <row r="114" spans="1:14" ht="15" customHeight="1" x14ac:dyDescent="0.25">
      <c r="A114" s="69" t="s">
        <v>131</v>
      </c>
      <c r="B114" s="71">
        <v>0.1</v>
      </c>
      <c r="C114" s="74">
        <f>IFERROR(IF($C$70="ЕКСПРЕС",SUMPRODUCT(('2_Parameter_Scores'!$A$2:$A$34="Trophic")*'2_Parameter_Scores'!$M$2:$M$34*'2_Parameter_Scores'!$H$2:$H$34)/SUMPRODUCT(('2_Parameter_Scores'!$A$2:$A$34="Trophic")*'2_Parameter_Scores'!$M$2:$M$34),IF($C$70="ПОВНЕ",SUMPRODUCT(('3_коефіцієнти_розширеного_аналі'!$B$2:$B$49="Trophic")*'3_коефіцієнти_розширеного_аналі'!$R$2:$R$49*'3_коефіцієнти_розширеного_аналі'!$L$2:$L$49)/SUMPRODUCT(('3_коефіцієнти_розширеного_аналі'!$B$2:$B$49="Trophic")*'3_коефіцієнти_розширеного_аналі'!$R$2:$R$49),IFERROR(SUMPRODUCT(('3_коефіцієнти_розширеного_аналі'!$B$2:$B$49="Trophic")*'3_коефіцієнти_розширеного_аналі'!$R$2:$R$49*'3_коефіцієнти_розширеного_аналі'!$L$2:$L$49)/SUMPRODUCT(('3_коефіцієнти_розширеного_аналі'!$B$2:$B$49="Trophic")*'3_коефіцієнти_розширеного_аналі'!$R$2:$R$49),SUMPRODUCT(('2_Parameter_Scores'!$A$2:$A$34="Trophic")*'2_Parameter_Scores'!$M$2:$M$34*'2_Parameter_Scores'!$H$2:$H$34)/SUMPRODUCT(('2_Parameter_Scores'!$A$2:$A$34="Trophic")*'2_Parameter_Scores'!$M$2:$M$34)))),"")</f>
        <v>0.1495877895981087</v>
      </c>
      <c r="D114" s="74">
        <f>IFERROR(IF($C$70="ЕКСПРЕС",SUMPRODUCT(('2_Parameter_Scores'!$A$2:$A$34="Trophic")*'2_Parameter_Scores'!$M$2:$M$34*'2_Parameter_Scores'!$I$2:$I$34)/SUMPRODUCT(('2_Parameter_Scores'!$A$2:$A$34="Trophic")*'2_Parameter_Scores'!$M$2:$M$34),IF($C$70="ПОВНЕ",SUMPRODUCT(('3_коефіцієнти_розширеного_аналі'!$B$2:$B$49="Trophic")*'3_коефіцієнти_розширеного_аналі'!$R$2:$R$49*'3_коефіцієнти_розширеного_аналі'!$M$2:$M$49)/SUMPRODUCT(('3_коефіцієнти_розширеного_аналі'!$B$2:$B$49="Trophic")*'3_коефіцієнти_розширеного_аналі'!$R$2:$R$49),IFERROR(SUMPRODUCT(('3_коефіцієнти_розширеного_аналі'!$B$2:$B$49="Trophic")*'3_коефіцієнти_розширеного_аналі'!$R$2:$R$49*'3_коефіцієнти_розширеного_аналі'!$M$2:$M$49)/SUMPRODUCT(('3_коефіцієнти_розширеного_аналі'!$B$2:$B$49="Trophic")*'3_коефіцієнти_розширеного_аналі'!$R$2:$R$49),SUMPRODUCT(('2_Parameter_Scores'!$A$2:$A$34="Trophic")*'2_Parameter_Scores'!$M$2:$M$34*'2_Parameter_Scores'!$I$2:$I$34)/SUMPRODUCT(('2_Parameter_Scores'!$A$2:$A$34="Trophic")*'2_Parameter_Scores'!$M$2:$M$34)))),"")</f>
        <v>0.2161196690307329</v>
      </c>
      <c r="E114" s="74">
        <f>IFERROR(IF($C$70="ЕКСПРЕС",SUMPRODUCT(('2_Parameter_Scores'!$A$2:$A$34="Trophic")*'2_Parameter_Scores'!$M$2:$M$34*'2_Parameter_Scores'!$J$2:$J$34)/SUMPRODUCT(('2_Parameter_Scores'!$A$2:$A$34="Trophic")*'2_Parameter_Scores'!$M$2:$M$34),IF($C$70="ПОВНЕ",SUMPRODUCT(('3_коефіцієнти_розширеного_аналі'!$B$2:$B$49="Trophic")*'3_коефіцієнти_розширеного_аналі'!$R$2:$R$49*'3_коефіцієнти_розширеного_аналі'!$N$2:$N$49)/SUMPRODUCT(('3_коефіцієнти_розширеного_аналі'!$B$2:$B$49="Trophic")*'3_коефіцієнти_розширеного_аналі'!$R$2:$R$49),IFERROR(SUMPRODUCT(('3_коефіцієнти_розширеного_аналі'!$B$2:$B$49="Trophic")*'3_коефіцієнти_розширеного_аналі'!$R$2:$R$49*'3_коефіцієнти_розширеного_аналі'!$N$2:$N$49)/SUMPRODUCT(('3_коефіцієнти_розширеного_аналі'!$B$2:$B$49="Trophic")*'3_коефіцієнти_розширеного_аналі'!$R$2:$R$49),SUMPRODUCT(('2_Parameter_Scores'!$A$2:$A$34="Trophic")*'2_Parameter_Scores'!$M$2:$M$34*'2_Parameter_Scores'!$J$2:$J$34)/SUMPRODUCT(('2_Parameter_Scores'!$A$2:$A$34="Trophic")*'2_Parameter_Scores'!$M$2:$M$34)))),"")</f>
        <v>0.39044562943262417</v>
      </c>
      <c r="F114" s="74">
        <f>IFERROR(IF($C$70="ЕКСПРЕС",SUMPRODUCT(('2_Parameter_Scores'!$A$2:$A$34="Trophic")*'2_Parameter_Scores'!$M$2:$M$34*'2_Parameter_Scores'!$K$2:$K$34)/SUMPRODUCT(('2_Parameter_Scores'!$A$2:$A$34="Trophic")*'2_Parameter_Scores'!$M$2:$M$34),IF($C$70="ПОВНЕ",SUMPRODUCT(('3_коефіцієнти_розширеного_аналі'!$B$2:$B$49="Trophic")*'3_коефіцієнти_розширеного_аналі'!$R$2:$R$49*'3_коефіцієнти_розширеного_аналі'!$O$2:$O$49)/SUMPRODUCT(('3_коефіцієнти_розширеного_аналі'!$B$2:$B$49="Trophic")*'3_коефіцієнти_розширеного_аналі'!$R$2:$R$49),IFERROR(SUMPRODUCT(('3_коефіцієнти_розширеного_аналі'!$B$2:$B$49="Trophic")*'3_коефіцієнти_розширеного_аналі'!$R$2:$R$49*'3_коефіцієнти_розширеного_аналі'!$O$2:$O$49)/SUMPRODUCT(('3_коефіцієнти_розширеного_аналі'!$B$2:$B$49="Trophic")*'3_коефіцієнти_розширеного_аналі'!$R$2:$R$49),SUMPRODUCT(('2_Parameter_Scores'!$A$2:$A$34="Trophic")*'2_Parameter_Scores'!$M$2:$M$34*'2_Parameter_Scores'!$K$2:$K$34)/SUMPRODUCT(('2_Parameter_Scores'!$A$2:$A$34="Trophic")*'2_Parameter_Scores'!$M$2:$M$34)))),"")</f>
        <v>0.57589764184397174</v>
      </c>
      <c r="G114" s="74">
        <f>IFERROR(IF($C$70="ЕКСПРЕС",SUMPRODUCT(('2_Parameter_Scores'!$A$2:$A$34="Trophic")*'2_Parameter_Scores'!$M$2:$M$34*'2_Parameter_Scores'!$L$2:$L$34)/SUMPRODUCT(('2_Parameter_Scores'!$A$2:$A$34="Trophic")*'2_Parameter_Scores'!$M$2:$M$34),IF($C$70="ПОВНЕ",SUMPRODUCT(('3_коефіцієнти_розширеного_аналі'!$B$2:$B$49="Trophic")*'3_коефіцієнти_розширеного_аналі'!$R$2:$R$49*'3_коефіцієнти_розширеного_аналі'!$P$2:$P$49)/SUMPRODUCT(('3_коефіцієнти_розширеного_аналі'!$B$2:$B$49="Trophic")*'3_коефіцієнти_розширеного_аналі'!$R$2:$R$49),IFERROR(SUMPRODUCT(('3_коефіцієнти_розширеного_аналі'!$B$2:$B$49="Trophic")*'3_коефіцієнти_розширеного_аналі'!$R$2:$R$49*'3_коефіцієнти_розширеного_аналі'!$P$2:$P$49)/SUMPRODUCT(('3_коефіцієнти_розширеного_аналі'!$B$2:$B$49="Trophic")*'3_коефіцієнти_розширеного_аналі'!$R$2:$R$49),SUMPRODUCT(('2_Parameter_Scores'!$A$2:$A$34="Trophic")*'2_Parameter_Scores'!$M$2:$M$34*'2_Parameter_Scores'!$L$2:$L$34)/SUMPRODUCT(('2_Parameter_Scores'!$A$2:$A$34="Trophic")*'2_Parameter_Scores'!$M$2:$M$34)))),"")</f>
        <v>0.73712325945626489</v>
      </c>
      <c r="H114" s="75">
        <f>IF($C$70="ЕКСПРЕС",COUNTIF('2_Parameter_Scores'!$A$2:$A$34,"Trophic"),COUNTIF('3_коефіцієнти_розширеного_аналі'!$B$2:$B$49,"Trophic"))</f>
        <v>7</v>
      </c>
    </row>
    <row r="115" spans="1:14" ht="15" customHeight="1" x14ac:dyDescent="0.25">
      <c r="A115" s="86" t="s">
        <v>148</v>
      </c>
      <c r="B115" s="87">
        <f>SUM($B$110:$B$114)</f>
        <v>1.0000000000000002</v>
      </c>
      <c r="C115" s="96">
        <f>SUMPRODUCT($B$110:$B$114,C$110:C$114)</f>
        <v>0.11330752631423381</v>
      </c>
      <c r="D115" s="96">
        <f>SUMPRODUCT($B$110:$B$114,D$110:D$114)</f>
        <v>0.26503405902615584</v>
      </c>
      <c r="E115" s="96">
        <f>SUMPRODUCT($B$110:$B$114,E$110:E$114)</f>
        <v>0.435831538496812</v>
      </c>
      <c r="F115" s="96">
        <f>SUMPRODUCT($B$110:$B$114,F$110:F$114)</f>
        <v>0.59893664689866788</v>
      </c>
      <c r="G115" s="96">
        <f>SUMPRODUCT($B$110:$B$114,G$110:G$114)</f>
        <v>0.75388224244166224</v>
      </c>
      <c r="H115" s="88" t="s">
        <v>847</v>
      </c>
    </row>
    <row r="117" spans="1:14" ht="15" customHeight="1" x14ac:dyDescent="0.25">
      <c r="A117" s="357" t="s">
        <v>848</v>
      </c>
      <c r="B117" s="357"/>
      <c r="C117" s="357"/>
      <c r="D117" s="357"/>
      <c r="E117" s="357"/>
      <c r="F117" s="357"/>
      <c r="G117" s="357"/>
      <c r="H117" s="357"/>
      <c r="I117" s="357"/>
      <c r="J117" s="357"/>
      <c r="K117" s="357"/>
      <c r="L117" s="357"/>
      <c r="M117" s="357"/>
      <c r="N117" s="357"/>
    </row>
    <row r="118" spans="1:14" ht="30" customHeight="1" x14ac:dyDescent="0.25">
      <c r="A118" s="16" t="s">
        <v>833</v>
      </c>
      <c r="B118" s="16" t="s">
        <v>454</v>
      </c>
      <c r="C118" s="16" t="s">
        <v>849</v>
      </c>
      <c r="D118" s="16" t="s">
        <v>850</v>
      </c>
      <c r="E118" s="16" t="s">
        <v>851</v>
      </c>
      <c r="F118" s="16" t="s">
        <v>852</v>
      </c>
    </row>
    <row r="119" spans="1:14" ht="25.5" customHeight="1" x14ac:dyDescent="0.25">
      <c r="A119" s="69" t="s">
        <v>654</v>
      </c>
      <c r="B119" s="144" t="str">
        <f>$L$4</f>
        <v>Інтегральний довготривалий ефект</v>
      </c>
      <c r="C119" s="96">
        <f>0.1*$C$115+0.15*$D$115+0.25*$E$115+0.25*$F$115+0.25*$G$115</f>
        <v>0.49824846844463228</v>
      </c>
      <c r="D119" s="70" t="s">
        <v>853</v>
      </c>
      <c r="E119" s="73" t="str">
        <f>$L$14</f>
        <v>≥0.60</v>
      </c>
      <c r="F119" s="72" t="str">
        <f>IFERROR(IF($C119&gt;=VALUE(SUBSTITUTE($E119,"≥","")),"✔ досягнуто","✖ не досягнуто"),"—")</f>
        <v>—</v>
      </c>
    </row>
    <row r="120" spans="1:14" ht="25.5" customHeight="1" x14ac:dyDescent="0.25">
      <c r="A120" s="69" t="s">
        <v>149</v>
      </c>
      <c r="B120" s="144" t="str">
        <f>$M$4</f>
        <v>Індекс утримання ефекту, стійкість відновлення</v>
      </c>
      <c r="C120" s="96">
        <f>IFERROR($G$115/AVERAGE($E$115:$F$115),"")</f>
        <v>1.4571036355423599</v>
      </c>
      <c r="D120" s="70" t="s">
        <v>854</v>
      </c>
      <c r="E120" s="73" t="str">
        <f>$M$14</f>
        <v>≥0.75</v>
      </c>
      <c r="F120" s="72" t="str">
        <f>IFERROR(IF($C120&gt;=VALUE(SUBSTITUTE($E120,"≥","")),"✔ досягнуто","✖ не досягнуто"),"—")</f>
        <v>—</v>
      </c>
    </row>
    <row r="121" spans="1:14" ht="25.5" customHeight="1" x14ac:dyDescent="0.25">
      <c r="A121" s="69" t="s">
        <v>150</v>
      </c>
      <c r="B121" s="144" t="str">
        <f>$N$4</f>
        <v>Інтегральний довгостроковий індекс реабілітаційної ефективності</v>
      </c>
      <c r="C121" s="96">
        <f>0.5*$G$102+0.2*$G$103+0.15*$G$104+0.15*$G$105</f>
        <v>0.73242938263749124</v>
      </c>
      <c r="D121" s="70" t="s">
        <v>855</v>
      </c>
      <c r="E121" s="73" t="str">
        <f>$N$14</f>
        <v>≥0.70</v>
      </c>
      <c r="F121" s="72" t="str">
        <f>IFERROR(IF($C121&gt;=VALUE(SUBSTITUTE($E121,"≥","")),"✔ досягнуто","✖ не досягнуто"),"—")</f>
        <v>—</v>
      </c>
    </row>
    <row r="122" spans="1:14" ht="25.5" customHeight="1" x14ac:dyDescent="0.25">
      <c r="A122" s="69" t="s">
        <v>288</v>
      </c>
      <c r="B122" s="144" t="str">
        <f>$O$4</f>
        <v>Інтегральний біомедичний індекс, якість відновлення</v>
      </c>
      <c r="C122" s="96">
        <f>0.35*$G$102+0.25*$G$103+0.25*$G$104+0.15*$G$105</f>
        <v>0.72608500567386325</v>
      </c>
      <c r="D122" s="70" t="s">
        <v>856</v>
      </c>
      <c r="E122" s="73" t="str">
        <f>$O$14</f>
        <v>≥0.70</v>
      </c>
      <c r="F122" s="72" t="str">
        <f>IFERROR(IF($C122&gt;=VALUE(SUBSTITUTE($E122,"≥","")),"✔ досягнуто","✖ не досягнуто"),"—")</f>
        <v>—</v>
      </c>
    </row>
    <row r="123" spans="1:14" ht="30" customHeight="1" x14ac:dyDescent="0.25">
      <c r="B123" s="364" t="s">
        <v>857</v>
      </c>
      <c r="C123" s="364"/>
      <c r="D123" s="364"/>
      <c r="E123" s="364"/>
      <c r="F123" s="364"/>
    </row>
    <row r="125" spans="1:14" ht="15" customHeight="1" x14ac:dyDescent="0.25">
      <c r="A125" s="357" t="s">
        <v>858</v>
      </c>
      <c r="B125" s="357"/>
      <c r="C125" s="357"/>
      <c r="D125" s="357"/>
      <c r="E125" s="357"/>
      <c r="F125" s="357"/>
      <c r="G125" s="357"/>
      <c r="H125" s="357"/>
      <c r="I125" s="357"/>
      <c r="J125" s="357"/>
      <c r="K125" s="357"/>
      <c r="L125" s="357"/>
      <c r="M125" s="357"/>
      <c r="N125" s="357"/>
    </row>
    <row r="126" spans="1:14" ht="30" customHeight="1" x14ac:dyDescent="0.25">
      <c r="A126" s="16" t="s">
        <v>859</v>
      </c>
      <c r="B126" s="16" t="s">
        <v>454</v>
      </c>
      <c r="C126" s="16" t="s">
        <v>860</v>
      </c>
      <c r="D126" s="16" t="s">
        <v>849</v>
      </c>
      <c r="E126" s="16" t="s">
        <v>851</v>
      </c>
      <c r="F126" s="16" t="s">
        <v>6</v>
      </c>
      <c r="G126" s="16" t="s">
        <v>780</v>
      </c>
      <c r="H126" s="16" t="s">
        <v>791</v>
      </c>
    </row>
    <row r="127" spans="1:14" ht="27.75" customHeight="1" x14ac:dyDescent="0.25">
      <c r="A127" s="147" t="str">
        <f>$C$3</f>
        <v>CEI</v>
      </c>
      <c r="B127" s="144" t="str">
        <f>$C$4</f>
        <v>Індекс клінічної ефективності</v>
      </c>
      <c r="C127" s="144" t="str">
        <f>$C$5</f>
        <v>Clinical Effectiveness Index</v>
      </c>
      <c r="D127" s="93">
        <f>$G$102</f>
        <v>0.7718840274951706</v>
      </c>
      <c r="E127" s="73" t="str">
        <f>$C$14</f>
        <v>≥0.50</v>
      </c>
      <c r="F127" s="72" t="str">
        <f t="shared" ref="F127:F139" si="6">IFERROR(IF($D127&gt;=VALUE(SUBSTITUTE($E127,"≥","")),"✔ досягнуто","✖ не досягнуто"),"—")</f>
        <v>—</v>
      </c>
      <c r="G127" s="148" t="str">
        <f>$C$15</f>
        <v>&lt;0.25 низький; 0.25–0.50 помірний; 0.50–0.70 добрий; &gt;0.70 високий</v>
      </c>
      <c r="H127" s="148" t="str">
        <f>$C$16</f>
        <v>Продовжити або переглянути лікування</v>
      </c>
    </row>
    <row r="128" spans="1:14" ht="27.75" customHeight="1" x14ac:dyDescent="0.25">
      <c r="A128" s="149" t="str">
        <f>$D$3</f>
        <v>MI</v>
      </c>
      <c r="B128" s="150" t="str">
        <f>$D$4</f>
        <v>Механістичний індекс</v>
      </c>
      <c r="C128" s="150" t="str">
        <f>$D$5</f>
        <v>Mechanistic Index</v>
      </c>
      <c r="D128" s="93">
        <f>$G$103</f>
        <v>0.66959371878121876</v>
      </c>
      <c r="E128" s="81" t="str">
        <f>$D$14</f>
        <v>≥0.50</v>
      </c>
      <c r="F128" s="80" t="str">
        <f t="shared" si="6"/>
        <v>—</v>
      </c>
      <c r="G128" s="151" t="str">
        <f>$D$15</f>
        <v>&lt;0.30 відсутні докази; 0.30–0.60 часткові; &gt;0.60 виражені</v>
      </c>
      <c r="H128" s="151" t="str">
        <f>$D$16</f>
        <v>Аналіз механізмів відповіді</v>
      </c>
    </row>
    <row r="129" spans="1:14" ht="27.75" customHeight="1" x14ac:dyDescent="0.25">
      <c r="A129" s="147" t="str">
        <f>$E$3</f>
        <v>FRI</v>
      </c>
      <c r="B129" s="144" t="str">
        <f>$E$4</f>
        <v>Індекс функціонального відновлення</v>
      </c>
      <c r="C129" s="144" t="str">
        <f>$E$5</f>
        <v>Functional Recovery Index</v>
      </c>
      <c r="D129" s="93">
        <f>$G$104</f>
        <v>0.75958541221586739</v>
      </c>
      <c r="E129" s="73" t="str">
        <f>$E$14</f>
        <v>≥0.50</v>
      </c>
      <c r="F129" s="72" t="str">
        <f t="shared" si="6"/>
        <v>—</v>
      </c>
      <c r="G129" s="148" t="str">
        <f>$E$15</f>
        <v>&lt;0.25 низьке; 0.25–0.50 помірне; &gt;0.50 добре</v>
      </c>
      <c r="H129" s="148" t="str">
        <f>$E$16</f>
        <v>Корекція програми реабілітації</v>
      </c>
    </row>
    <row r="130" spans="1:14" ht="27.75" customHeight="1" x14ac:dyDescent="0.25">
      <c r="A130" s="149" t="str">
        <f>$F$3</f>
        <v>DMI</v>
      </c>
      <c r="B130" s="150" t="str">
        <f>$F$4</f>
        <v>Індекс модифікації патологічного процесу</v>
      </c>
      <c r="C130" s="150" t="str">
        <f>$F$5</f>
        <v>Disease Modification Index</v>
      </c>
      <c r="D130" s="93">
        <f>$G$105</f>
        <v>0.65753875534188033</v>
      </c>
      <c r="E130" s="81" t="str">
        <f>$F$14</f>
        <v>≥0.70</v>
      </c>
      <c r="F130" s="80" t="str">
        <f t="shared" si="6"/>
        <v>—</v>
      </c>
      <c r="G130" s="151" t="str">
        <f>$F$15</f>
        <v>&lt;0.40 симптоматичний; 0.40–0.70 частково DM; &gt;0.70 DM</v>
      </c>
      <c r="H130" s="151" t="str">
        <f>$F$16</f>
        <v>Оцінка патогенетичного впливу</v>
      </c>
    </row>
    <row r="131" spans="1:14" ht="27.75" customHeight="1" x14ac:dyDescent="0.25">
      <c r="A131" s="147" t="str">
        <f>$G$3</f>
        <v>CREI5</v>
      </c>
      <c r="B131" s="144" t="str">
        <f>$G$4</f>
        <v>Композитний індекс ефективності (5 доба)</v>
      </c>
      <c r="C131" s="144" t="str">
        <f>$G$5</f>
        <v>Composite Rehabilitation Effectiveness Index Day 5</v>
      </c>
      <c r="D131" s="93">
        <f>$C$115</f>
        <v>0.11330752631423381</v>
      </c>
      <c r="E131" s="73" t="str">
        <f>$G$14</f>
        <v>≥0.50</v>
      </c>
      <c r="F131" s="72" t="str">
        <f t="shared" si="6"/>
        <v>—</v>
      </c>
      <c r="G131" s="148" t="str">
        <f>$G$15</f>
        <v>&lt;0.25 слабкий; &gt;0.50 хороший</v>
      </c>
      <c r="H131" s="148" t="str">
        <f>$G$16</f>
        <v>Моніторинг ранньої відповіді</v>
      </c>
    </row>
    <row r="132" spans="1:14" ht="27.75" customHeight="1" x14ac:dyDescent="0.25">
      <c r="A132" s="149" t="str">
        <f>$H$3</f>
        <v>CREI10</v>
      </c>
      <c r="B132" s="150" t="str">
        <f>$H$4</f>
        <v>Композитний індекс ефективності (10 доба)</v>
      </c>
      <c r="C132" s="150" t="str">
        <f>$H$5</f>
        <v>Composite Rehabilitation Effectiveness Index Day 10</v>
      </c>
      <c r="D132" s="93">
        <f>$D$115</f>
        <v>0.26503405902615584</v>
      </c>
      <c r="E132" s="81" t="str">
        <f>$H$14</f>
        <v>≥0.50</v>
      </c>
      <c r="F132" s="80" t="str">
        <f t="shared" si="6"/>
        <v>—</v>
      </c>
      <c r="G132" s="151" t="str">
        <f>$H$15</f>
        <v>аналогічно</v>
      </c>
      <c r="H132" s="151" t="str">
        <f>$H$16</f>
        <v>Перевірка ефективності курсу</v>
      </c>
    </row>
    <row r="133" spans="1:14" ht="27.75" customHeight="1" x14ac:dyDescent="0.25">
      <c r="A133" s="147" t="str">
        <f>$I$3</f>
        <v>CREI20</v>
      </c>
      <c r="B133" s="144" t="str">
        <f>$I$4</f>
        <v>Композитний індекс ефективності (20 доба)</v>
      </c>
      <c r="C133" s="144" t="str">
        <f>$I$5</f>
        <v>Composite Rehabilitation Effectiveness Index Day 20</v>
      </c>
      <c r="D133" s="93">
        <f>$E$115</f>
        <v>0.435831538496812</v>
      </c>
      <c r="E133" s="73" t="str">
        <f>$I$14</f>
        <v>≥0.50</v>
      </c>
      <c r="F133" s="72" t="str">
        <f t="shared" si="6"/>
        <v>—</v>
      </c>
      <c r="G133" s="148" t="str">
        <f>$I$15</f>
        <v>аналогічно</v>
      </c>
      <c r="H133" s="148" t="str">
        <f>$I$16</f>
        <v>Основна контрольна точка</v>
      </c>
    </row>
    <row r="134" spans="1:14" ht="27.75" customHeight="1" x14ac:dyDescent="0.25">
      <c r="A134" s="149" t="str">
        <f>$J$3</f>
        <v>CREI40</v>
      </c>
      <c r="B134" s="150" t="str">
        <f>$J$4</f>
        <v>Композитний індекс ефективності (40 доба)</v>
      </c>
      <c r="C134" s="150" t="str">
        <f>$J$5</f>
        <v>Composite Rehabilitation Effectiveness Index Day 40</v>
      </c>
      <c r="D134" s="93">
        <f>$F$115</f>
        <v>0.59893664689866788</v>
      </c>
      <c r="E134" s="81" t="str">
        <f>$J$14</f>
        <v>≥0.60</v>
      </c>
      <c r="F134" s="80" t="str">
        <f t="shared" si="6"/>
        <v>—</v>
      </c>
      <c r="G134" s="151" t="str">
        <f>$J$15</f>
        <v>аналогічно</v>
      </c>
      <c r="H134" s="151" t="str">
        <f>$J$16</f>
        <v>Оцінка стабілізації</v>
      </c>
    </row>
    <row r="135" spans="1:14" ht="27.75" customHeight="1" x14ac:dyDescent="0.25">
      <c r="A135" s="147" t="str">
        <f>$K$3</f>
        <v>CREI80</v>
      </c>
      <c r="B135" s="144" t="str">
        <f>$K$4</f>
        <v>Композитний індекс ефективності (80 доба)</v>
      </c>
      <c r="C135" s="144" t="str">
        <f>$K$5</f>
        <v>Composite Rehabilitation Effectiveness Index Day 80</v>
      </c>
      <c r="D135" s="93">
        <f>$G$115</f>
        <v>0.75388224244166224</v>
      </c>
      <c r="E135" s="73" t="str">
        <f>$K$14</f>
        <v>≥0.60</v>
      </c>
      <c r="F135" s="72" t="str">
        <f t="shared" si="6"/>
        <v>—</v>
      </c>
      <c r="G135" s="148" t="str">
        <f>$K$15</f>
        <v>аналогічно</v>
      </c>
      <c r="H135" s="148" t="str">
        <f>$K$16</f>
        <v>Основна контрольна точка довгострокового ефекту</v>
      </c>
    </row>
    <row r="136" spans="1:14" ht="27.75" customHeight="1" x14ac:dyDescent="0.25">
      <c r="A136" s="149" t="str">
        <f>$L$3</f>
        <v>LongTerm_CREI</v>
      </c>
      <c r="B136" s="150" t="str">
        <f>$L$4</f>
        <v>Інтегральний довготривалий ефект</v>
      </c>
      <c r="C136" s="150" t="str">
        <f>$L$5</f>
        <v>Long-Term Composite Rehabilitation Effectiveness Index</v>
      </c>
      <c r="D136" s="93">
        <f>$C$119</f>
        <v>0.49824846844463228</v>
      </c>
      <c r="E136" s="81" t="str">
        <f>$L$14</f>
        <v>≥0.60</v>
      </c>
      <c r="F136" s="80" t="str">
        <f t="shared" si="6"/>
        <v>—</v>
      </c>
      <c r="G136" s="151" t="str">
        <f>$L$15</f>
        <v>&lt;0.50 низький; &gt;0.70 високий</v>
      </c>
      <c r="H136" s="151" t="str">
        <f>$L$16</f>
        <v>Загальна оцінка програми</v>
      </c>
    </row>
    <row r="137" spans="1:14" ht="27.75" customHeight="1" x14ac:dyDescent="0.25">
      <c r="A137" s="147" t="str">
        <f>$M$3</f>
        <v>RI</v>
      </c>
      <c r="B137" s="144" t="str">
        <f>$M$4</f>
        <v>Індекс утримання ефекту, стійкість відновлення</v>
      </c>
      <c r="C137" s="144" t="str">
        <f>$M$5</f>
        <v>Retention Index</v>
      </c>
      <c r="D137" s="93">
        <f>$C$120</f>
        <v>1.4571036355423599</v>
      </c>
      <c r="E137" s="73" t="str">
        <f>$M$14</f>
        <v>≥0.75</v>
      </c>
      <c r="F137" s="72" t="str">
        <f t="shared" si="6"/>
        <v>—</v>
      </c>
      <c r="G137" s="148" t="str">
        <f>$M$15</f>
        <v>&lt;0.50 нестійкий; 0.50–0.75 середній; &gt;0.75 добрий; &gt;0.90 відмінний</v>
      </c>
      <c r="H137" s="148" t="str">
        <f>$M$16</f>
        <v>Оцінка стійкості результату</v>
      </c>
    </row>
    <row r="138" spans="1:14" ht="27.75" customHeight="1" x14ac:dyDescent="0.25">
      <c r="A138" s="149" t="str">
        <f>$N$3</f>
        <v>ILREI</v>
      </c>
      <c r="B138" s="150" t="str">
        <f>$N$4</f>
        <v>Інтегральний довгостроковий індекс реабілітаційної ефективності</v>
      </c>
      <c r="C138" s="150" t="str">
        <f>$N$5</f>
        <v>Integrated Long-Term Rehabilitation Effectiveness Index</v>
      </c>
      <c r="D138" s="93">
        <f>$C$121</f>
        <v>0.73242938263749124</v>
      </c>
      <c r="E138" s="81" t="str">
        <f>$N$14</f>
        <v>≥0.70</v>
      </c>
      <c r="F138" s="80" t="str">
        <f t="shared" si="6"/>
        <v>—</v>
      </c>
      <c r="G138" s="151" t="str">
        <f>$N$15</f>
        <v>&lt;0.25 неефективно; 0.25–0.50 помірно; 0.50–0.70 добре; 0.70–0.85 високо; &gt;0.85 відмінно</v>
      </c>
      <c r="H138" s="151" t="str">
        <f>$N$16</f>
        <v>Остаточний клінічний висновок</v>
      </c>
    </row>
    <row r="139" spans="1:14" ht="27.75" customHeight="1" x14ac:dyDescent="0.25">
      <c r="A139" s="147" t="str">
        <f>$O$3</f>
        <v>IBI</v>
      </c>
      <c r="B139" s="144" t="str">
        <f>$O$4</f>
        <v>Інтегральний біомедичний індекс, якість відновлення</v>
      </c>
      <c r="C139" s="144" t="str">
        <f>$O$5</f>
        <v>Integrated Biomedical Index</v>
      </c>
      <c r="D139" s="93">
        <f>$C$122</f>
        <v>0.72608500567386325</v>
      </c>
      <c r="E139" s="73" t="str">
        <f>$O$14</f>
        <v>≥0.70</v>
      </c>
      <c r="F139" s="72" t="str">
        <f t="shared" si="6"/>
        <v>—</v>
      </c>
      <c r="G139" s="148" t="str">
        <f>$O$15</f>
        <v>&lt;0.40 низький; 0.40–0.70 середній; &gt;0.70 високий</v>
      </c>
      <c r="H139" s="148" t="str">
        <f>$O$16</f>
        <v>Загальний біомедичний висновок</v>
      </c>
    </row>
    <row r="141" spans="1:14" ht="15" customHeight="1" x14ac:dyDescent="0.25">
      <c r="A141" s="357" t="s">
        <v>861</v>
      </c>
      <c r="B141" s="357"/>
      <c r="C141" s="357"/>
      <c r="D141" s="357"/>
      <c r="E141" s="357"/>
      <c r="F141" s="357"/>
      <c r="G141" s="357"/>
      <c r="H141" s="357"/>
      <c r="I141" s="357"/>
      <c r="J141" s="357"/>
      <c r="K141" s="357"/>
      <c r="L141" s="357"/>
      <c r="M141" s="357"/>
      <c r="N141" s="357"/>
    </row>
    <row r="142" spans="1:14" ht="43.5" customHeight="1" x14ac:dyDescent="0.25">
      <c r="A142" s="360" t="s">
        <v>862</v>
      </c>
      <c r="B142" s="360"/>
      <c r="C142" s="361" t="s">
        <v>863</v>
      </c>
      <c r="D142" s="361"/>
      <c r="E142" s="361"/>
      <c r="F142" s="361"/>
      <c r="G142" s="361"/>
      <c r="H142" s="361"/>
      <c r="I142" s="361"/>
      <c r="J142" s="361"/>
      <c r="K142" s="361"/>
      <c r="L142" s="361"/>
      <c r="M142" s="361"/>
      <c r="N142" s="361"/>
    </row>
    <row r="143" spans="1:14" ht="43.5" customHeight="1" x14ac:dyDescent="0.25">
      <c r="A143" s="360" t="s">
        <v>864</v>
      </c>
      <c r="B143" s="360"/>
      <c r="C143" s="361" t="s">
        <v>865</v>
      </c>
      <c r="D143" s="361"/>
      <c r="E143" s="361"/>
      <c r="F143" s="361"/>
      <c r="G143" s="361"/>
      <c r="H143" s="361"/>
      <c r="I143" s="361"/>
      <c r="J143" s="361"/>
      <c r="K143" s="361"/>
      <c r="L143" s="361"/>
      <c r="M143" s="361"/>
      <c r="N143" s="361"/>
    </row>
    <row r="144" spans="1:14" ht="43.5" customHeight="1" x14ac:dyDescent="0.25">
      <c r="A144" s="360" t="s">
        <v>866</v>
      </c>
      <c r="B144" s="360"/>
      <c r="C144" s="361" t="s">
        <v>867</v>
      </c>
      <c r="D144" s="361"/>
      <c r="E144" s="361"/>
      <c r="F144" s="361"/>
      <c r="G144" s="361"/>
      <c r="H144" s="361"/>
      <c r="I144" s="361"/>
      <c r="J144" s="361"/>
      <c r="K144" s="361"/>
      <c r="L144" s="361"/>
      <c r="M144" s="361"/>
      <c r="N144" s="361"/>
    </row>
    <row r="145" spans="1:14" ht="43.5" customHeight="1" x14ac:dyDescent="0.25">
      <c r="A145" s="360" t="s">
        <v>868</v>
      </c>
      <c r="B145" s="360"/>
      <c r="C145" s="361" t="s">
        <v>869</v>
      </c>
      <c r="D145" s="361"/>
      <c r="E145" s="361"/>
      <c r="F145" s="361"/>
      <c r="G145" s="361"/>
      <c r="H145" s="361"/>
      <c r="I145" s="361"/>
      <c r="J145" s="361"/>
      <c r="K145" s="361"/>
      <c r="L145" s="361"/>
      <c r="M145" s="361"/>
      <c r="N145" s="361"/>
    </row>
    <row r="146" spans="1:14" ht="43.5" customHeight="1" x14ac:dyDescent="0.25">
      <c r="A146" s="360" t="s">
        <v>870</v>
      </c>
      <c r="B146" s="360"/>
      <c r="C146" s="361" t="s">
        <v>871</v>
      </c>
      <c r="D146" s="361"/>
      <c r="E146" s="361"/>
      <c r="F146" s="361"/>
      <c r="G146" s="361"/>
      <c r="H146" s="361"/>
      <c r="I146" s="361"/>
      <c r="J146" s="361"/>
      <c r="K146" s="361"/>
      <c r="L146" s="361"/>
      <c r="M146" s="361"/>
      <c r="N146" s="361"/>
    </row>
    <row r="147" spans="1:14" ht="43.5" customHeight="1" x14ac:dyDescent="0.25">
      <c r="A147" s="360" t="s">
        <v>646</v>
      </c>
      <c r="B147" s="360"/>
      <c r="C147" s="361" t="s">
        <v>872</v>
      </c>
      <c r="D147" s="361"/>
      <c r="E147" s="361"/>
      <c r="F147" s="361"/>
      <c r="G147" s="361"/>
      <c r="H147" s="361"/>
      <c r="I147" s="361"/>
      <c r="J147" s="361"/>
      <c r="K147" s="361"/>
      <c r="L147" s="361"/>
      <c r="M147" s="361"/>
      <c r="N147" s="361"/>
    </row>
  </sheetData>
  <sheetProtection password="EBB1" sheet="1" formatColumns="0" formatRows="0" sort="0" autoFilter="0"/>
  <mergeCells count="23">
    <mergeCell ref="A147:B147"/>
    <mergeCell ref="C147:N147"/>
    <mergeCell ref="A144:B144"/>
    <mergeCell ref="C144:N144"/>
    <mergeCell ref="A145:B145"/>
    <mergeCell ref="C145:N145"/>
    <mergeCell ref="A146:B146"/>
    <mergeCell ref="C146:N146"/>
    <mergeCell ref="A141:N141"/>
    <mergeCell ref="A142:B142"/>
    <mergeCell ref="C142:N142"/>
    <mergeCell ref="A143:B143"/>
    <mergeCell ref="C143:N143"/>
    <mergeCell ref="B106:I106"/>
    <mergeCell ref="A108:N108"/>
    <mergeCell ref="A117:N117"/>
    <mergeCell ref="B123:F123"/>
    <mergeCell ref="A125:N125"/>
    <mergeCell ref="A69:N69"/>
    <mergeCell ref="A70:B70"/>
    <mergeCell ref="D70:N70"/>
    <mergeCell ref="A72:N72"/>
    <mergeCell ref="A100:N100"/>
  </mergeCells>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topLeftCell="A25" zoomScaleNormal="100" workbookViewId="0">
      <selection activeCell="B11" sqref="B11"/>
    </sheetView>
  </sheetViews>
  <sheetFormatPr defaultColWidth="8.7109375" defaultRowHeight="15" x14ac:dyDescent="0.25"/>
  <cols>
    <col min="2" max="2" width="34.85546875" style="15" customWidth="1"/>
    <col min="8" max="8" width="16.42578125" style="15" customWidth="1"/>
    <col min="9" max="9" width="22.42578125" style="15" customWidth="1"/>
    <col min="10" max="10" width="40.28515625" style="15" customWidth="1"/>
  </cols>
  <sheetData>
    <row r="1" spans="1:11" ht="15" customHeight="1" x14ac:dyDescent="0.25">
      <c r="A1" s="15" t="s">
        <v>364</v>
      </c>
      <c r="B1" s="15" t="s">
        <v>873</v>
      </c>
      <c r="C1" s="15" t="s">
        <v>228</v>
      </c>
      <c r="D1" s="15" t="s">
        <v>229</v>
      </c>
      <c r="E1" s="15" t="s">
        <v>230</v>
      </c>
      <c r="F1" s="15" t="s">
        <v>231</v>
      </c>
      <c r="G1" s="15" t="s">
        <v>232</v>
      </c>
      <c r="H1" s="15" t="s">
        <v>874</v>
      </c>
      <c r="I1" s="15" t="s">
        <v>875</v>
      </c>
      <c r="J1" s="15" t="s">
        <v>614</v>
      </c>
      <c r="K1" s="15" t="s">
        <v>876</v>
      </c>
    </row>
    <row r="2" spans="1:11" ht="16.5" customHeight="1" x14ac:dyDescent="0.25">
      <c r="A2" s="15" t="s">
        <v>123</v>
      </c>
      <c r="B2" s="15" t="s">
        <v>877</v>
      </c>
      <c r="C2" s="57">
        <f>SUMPRODUCT(('3_коефіцієнти_розширеного_аналі'!$B$2:$B$49=$A2)*'3_коефіцієнти_розширеного_аналі'!$R$2:$R$49*'3_коефіцієнти_розширеного_аналі'!$L$2:$L$49)/SUMPRODUCT(('3_коефіцієнти_розширеного_аналі'!$B$2:$B$49=$A2)*'3_коефіцієнти_розширеного_аналі'!$R$2:$R$49)</f>
        <v>8.0313958695915622E-2</v>
      </c>
      <c r="D2" s="57">
        <f>SUMPRODUCT(('3_коефіцієнти_розширеного_аналі'!$B$2:$B$49=$A2)*'3_коефіцієнти_розширеного_аналі'!$R$2:$R$49*'3_коефіцієнти_розширеного_аналі'!$M$2:$M$49)/SUMPRODUCT(('3_коефіцієнти_розширеного_аналі'!$B$2:$B$49=$A2)*'3_коефіцієнти_розширеного_аналі'!$R$2:$R$49)</f>
        <v>0.27529076312033202</v>
      </c>
      <c r="E2" s="57">
        <f>SUMPRODUCT(('3_коефіцієнти_розширеного_аналі'!$B$2:$B$49=$A2)*'3_коефіцієнти_розширеного_аналі'!$R$2:$R$49*'3_коефіцієнти_розширеного_аналі'!$N$2:$N$49)/SUMPRODUCT(('3_коефіцієнти_розширеного_аналі'!$B$2:$B$49=$A2)*'3_коефіцієнти_розширеного_аналі'!$R$2:$R$49)</f>
        <v>0.44284466440026971</v>
      </c>
      <c r="F2" s="57">
        <f>SUMPRODUCT(('3_коефіцієнти_розширеного_аналі'!$B$2:$B$49=$A2)*'3_коефіцієнти_розширеного_аналі'!$R$2:$R$49*'3_коефіцієнти_розширеного_аналі'!$O$2:$O$49)/SUMPRODUCT(('3_коефіцієнти_розширеного_аналі'!$B$2:$B$49=$A2)*'3_коефіцієнти_розширеного_аналі'!$R$2:$R$49)</f>
        <v>0.63249222869575084</v>
      </c>
      <c r="G2" s="57">
        <f>SUMPRODUCT(('3_коефіцієнти_розширеного_аналі'!$B$2:$B$49=$A2)*'3_коефіцієнти_розширеного_аналі'!$R$2:$R$49*'3_коефіцієнти_розширеного_аналі'!$P$2:$P$49)/SUMPRODUCT(('3_коефіцієнти_розширеного_аналі'!$B$2:$B$49=$A2)*'3_коефіцієнти_розширеного_аналі'!$R$2:$R$49)</f>
        <v>0.77486566087358666</v>
      </c>
      <c r="H2" s="152">
        <v>0.25</v>
      </c>
      <c r="I2" s="15" t="s">
        <v>878</v>
      </c>
      <c r="J2" s="15" t="s">
        <v>879</v>
      </c>
      <c r="K2" s="15">
        <f>SUMPRODUCT($H$2:$H$6,C2:C6)</f>
        <v>9.6824505560232491E-2</v>
      </c>
    </row>
    <row r="3" spans="1:11" ht="16.5" customHeight="1" x14ac:dyDescent="0.25">
      <c r="A3" s="15" t="s">
        <v>125</v>
      </c>
      <c r="B3" s="15" t="s">
        <v>880</v>
      </c>
      <c r="C3" s="57">
        <f>SUMPRODUCT(('3_коефіцієнти_розширеного_аналі'!$B$2:$B$49=$A3)*'3_коефіцієнти_розширеного_аналі'!$R$2:$R$49*'3_коефіцієнти_розширеного_аналі'!$L$2:$L$49)/SUMPRODUCT(('3_коефіцієнти_розширеного_аналі'!$B$2:$B$49=$A3)*'3_коефіцієнти_розширеного_аналі'!$R$2:$R$49)</f>
        <v>9.8194956390588409E-2</v>
      </c>
      <c r="D3" s="57">
        <f>SUMPRODUCT(('3_коефіцієнти_розширеного_аналі'!$B$2:$B$49=$A3)*'3_коефіцієнти_розширеного_аналі'!$R$2:$R$49*'3_коефіцієнти_розширеного_аналі'!$M$2:$M$49)/SUMPRODUCT(('3_коефіцієнти_розширеного_аналі'!$B$2:$B$49=$A3)*'3_коефіцієнти_розширеного_аналі'!$R$2:$R$49)</f>
        <v>0.24515694160638435</v>
      </c>
      <c r="E3" s="57">
        <f>SUMPRODUCT(('3_коефіцієнти_розширеного_аналі'!$B$2:$B$49=$A3)*'3_коефіцієнти_розширеного_аналі'!$R$2:$R$49*'3_коефіцієнти_розширеного_аналі'!$N$2:$N$49)/SUMPRODUCT(('3_коефіцієнти_розширеного_аналі'!$B$2:$B$49=$A3)*'3_коефіцієнти_розширеного_аналі'!$R$2:$R$49)</f>
        <v>0.4048534826079872</v>
      </c>
      <c r="F3" s="57">
        <f>SUMPRODUCT(('3_коефіцієнти_розширеного_аналі'!$B$2:$B$49=$A3)*'3_коефіцієнти_розширеного_аналі'!$R$2:$R$49*'3_коефіцієнти_розширеного_аналі'!$O$2:$O$49)/SUMPRODUCT(('3_коефіцієнти_розширеного_аналі'!$B$2:$B$49=$A3)*'3_коефіцієнти_розширеного_аналі'!$R$2:$R$49)</f>
        <v>0.55094563112295947</v>
      </c>
      <c r="G3" s="57">
        <f>SUMPRODUCT(('3_коефіцієнти_розширеного_аналі'!$B$2:$B$49=$A3)*'3_коефіцієнти_розширеного_аналі'!$R$2:$R$49*'3_коефіцієнти_розширеного_аналі'!$P$2:$P$49)/SUMPRODUCT(('3_коефіцієнти_розширеного_аналі'!$B$2:$B$49=$A3)*'3_коефіцієнти_розширеного_аналі'!$R$2:$R$49)</f>
        <v>0.74017941535315135</v>
      </c>
      <c r="H3" s="152">
        <v>0.21</v>
      </c>
      <c r="I3" s="15" t="s">
        <v>881</v>
      </c>
      <c r="J3" s="15" t="s">
        <v>882</v>
      </c>
      <c r="K3" s="15">
        <f>SUMPRODUCT($H$2:$H$6,D2:D6)</f>
        <v>0.22505477067492255</v>
      </c>
    </row>
    <row r="4" spans="1:11" ht="16.5" customHeight="1" x14ac:dyDescent="0.25">
      <c r="A4" s="15" t="s">
        <v>127</v>
      </c>
      <c r="B4" s="15" t="s">
        <v>883</v>
      </c>
      <c r="C4" s="57">
        <f>SUMPRODUCT(('3_коефіцієнти_розширеного_аналі'!$B$2:$B$49=$A4)*'3_коефіцієнти_розширеного_аналі'!$R$2:$R$49*'3_коефіцієнти_розширеного_аналі'!$L$2:$L$49)/SUMPRODUCT(('3_коефіцієнти_розширеного_аналі'!$B$2:$B$49=$A4)*'3_коефіцієнти_розширеного_аналі'!$R$2:$R$49)</f>
        <v>0.1648905718396996</v>
      </c>
      <c r="D4" s="57">
        <f>SUMPRODUCT(('3_коефіцієнти_розширеного_аналі'!$B$2:$B$49=$A4)*'3_коефіцієнти_розширеного_аналі'!$R$2:$R$49*'3_коефіцієнти_розширеного_аналі'!$M$2:$M$49)/SUMPRODUCT(('3_коефіцієнти_розширеного_аналі'!$B$2:$B$49=$A4)*'3_коефіцієнти_розширеного_аналі'!$R$2:$R$49)</f>
        <v>0.27382733086161087</v>
      </c>
      <c r="E4" s="57">
        <f>SUMPRODUCT(('3_коефіцієнти_розширеного_аналі'!$B$2:$B$49=$A4)*'3_коефіцієнти_розширеного_аналі'!$R$2:$R$49*'3_коефіцієнти_розширеного_аналі'!$N$2:$N$49)/SUMPRODUCT(('3_коефіцієнти_розширеного_аналі'!$B$2:$B$49=$A4)*'3_коефіцієнти_розширеного_аналі'!$R$2:$R$49)</f>
        <v>0.46136783136066095</v>
      </c>
      <c r="F4" s="57">
        <f>SUMPRODUCT(('3_коефіцієнти_розширеного_аналі'!$B$2:$B$49=$A4)*'3_коефіцієнти_розширеного_аналі'!$R$2:$R$49*'3_коефіцієнти_розширеного_аналі'!$O$2:$O$49)/SUMPRODUCT(('3_коефіцієнти_розширеного_аналі'!$B$2:$B$49=$A4)*'3_коефіцієнти_розширеного_аналі'!$R$2:$R$49)</f>
        <v>0.55770300132254491</v>
      </c>
      <c r="G4" s="57">
        <f>SUMPRODUCT(('3_коефіцієнти_розширеного_аналі'!$B$2:$B$49=$A4)*'3_коефіцієнти_розширеного_аналі'!$R$2:$R$49*'3_коефіцієнти_розширеного_аналі'!$P$2:$P$49)/SUMPRODUCT(('3_коефіцієнти_розширеного_аналі'!$B$2:$B$49=$A4)*'3_коефіцієнти_розширеного_аналі'!$R$2:$R$49)</f>
        <v>0.72982881712720449</v>
      </c>
      <c r="H4" s="152">
        <v>0.13</v>
      </c>
      <c r="I4" s="15" t="s">
        <v>884</v>
      </c>
      <c r="J4" s="15" t="s">
        <v>885</v>
      </c>
      <c r="K4" s="15">
        <f>SUMPRODUCT($H$2:$H$6,E2:E6)</f>
        <v>0.37033609841933368</v>
      </c>
    </row>
    <row r="5" spans="1:11" ht="16.5" customHeight="1" x14ac:dyDescent="0.25">
      <c r="A5" s="15" t="s">
        <v>129</v>
      </c>
      <c r="B5" s="15" t="s">
        <v>886</v>
      </c>
      <c r="C5" s="57">
        <f>SUMPRODUCT(('3_коефіцієнти_розширеного_аналі'!$B$2:$B$49=$A5)*'3_коефіцієнти_розширеного_аналі'!$R$2:$R$49*'3_коефіцієнти_розширеного_аналі'!$L$2:$L$49)/SUMPRODUCT(('3_коефіцієнти_розширеного_аналі'!$B$2:$B$49=$A5)*'3_коефіцієнти_розширеного_аналі'!$R$2:$R$49)</f>
        <v>0.12486117436023102</v>
      </c>
      <c r="D5" s="57">
        <f>SUMPRODUCT(('3_коефіцієнти_розширеного_аналі'!$B$2:$B$49=$A5)*'3_коефіцієнти_розширеного_аналі'!$R$2:$R$49*'3_коефіцієнти_розширеного_аналі'!$M$2:$M$49)/SUMPRODUCT(('3_коефіцієнти_розширеного_аналі'!$B$2:$B$49=$A5)*'3_коефіцієнти_розширеного_аналі'!$R$2:$R$49)</f>
        <v>0.29235764078072624</v>
      </c>
      <c r="E5" s="57">
        <f>SUMPRODUCT(('3_коефіцієнти_розширеного_аналі'!$B$2:$B$49=$A5)*'3_коефіцієнти_розширеного_аналі'!$R$2:$R$49*'3_коефіцієнти_розширеного_аналі'!$N$2:$N$49)/SUMPRODUCT(('3_коефіцієнти_розширеного_аналі'!$B$2:$B$49=$A5)*'3_коефіцієнти_розширеного_аналі'!$R$2:$R$49)</f>
        <v>0.4675751543868637</v>
      </c>
      <c r="F5" s="57">
        <f>SUMPRODUCT(('3_коефіцієнти_розширеного_аналі'!$B$2:$B$49=$A5)*'3_коефіцієнти_розширеного_аналі'!$R$2:$R$49*'3_коефіцієнти_розширеного_аналі'!$O$2:$O$49)/SUMPRODUCT(('3_коефіцієнти_розширеного_аналі'!$B$2:$B$49=$A5)*'3_коефіцієнти_розширеного_аналі'!$R$2:$R$49)</f>
        <v>0.65103678063211923</v>
      </c>
      <c r="G5" s="57">
        <f>SUMPRODUCT(('3_коефіцієнти_розширеного_аналі'!$B$2:$B$49=$A5)*'3_коефіцієнти_розширеного_аналі'!$R$2:$R$49*'3_коефіцієнти_розширеного_аналі'!$P$2:$P$49)/SUMPRODUCT(('3_коефіцієнти_розширеного_аналі'!$B$2:$B$49=$A5)*'3_коефіцієнти_розширеного_аналі'!$R$2:$R$49)</f>
        <v>0.76595520913295612</v>
      </c>
      <c r="H5" s="152">
        <v>0.17</v>
      </c>
      <c r="I5" s="15" t="s">
        <v>887</v>
      </c>
      <c r="J5" s="15" t="s">
        <v>888</v>
      </c>
      <c r="K5" s="15">
        <f>SUMPRODUCT($H$2:$H$6,F2:F6)</f>
        <v>0.50883007035510786</v>
      </c>
    </row>
    <row r="6" spans="1:11" ht="16.5" customHeight="1" x14ac:dyDescent="0.25">
      <c r="A6" s="15" t="s">
        <v>131</v>
      </c>
      <c r="B6" s="15" t="s">
        <v>889</v>
      </c>
      <c r="C6" s="57">
        <f>SUMPRODUCT(('3_коефіцієнти_розширеного_аналі'!$B$2:$B$49=$A6)*'3_коефіцієнти_розширеного_аналі'!$R$2:$R$49*'3_коефіцієнти_розширеного_аналі'!$L$2:$L$49)/SUMPRODUCT(('3_коефіцієнти_розширеного_аналі'!$B$2:$B$49=$A6)*'3_коефіцієнти_розширеного_аналі'!$R$2:$R$49)</f>
        <v>0.1495877895981087</v>
      </c>
      <c r="D6" s="57">
        <f>SUMPRODUCT(('3_коефіцієнти_розширеного_аналі'!$B$2:$B$49=$A6)*'3_коефіцієнти_розширеного_аналі'!$R$2:$R$49*'3_коефіцієнти_розширеного_аналі'!$M$2:$M$49)/SUMPRODUCT(('3_коефіцієнти_розширеного_аналі'!$B$2:$B$49=$A6)*'3_коефіцієнти_розширеного_аналі'!$R$2:$R$49)</f>
        <v>0.2161196690307329</v>
      </c>
      <c r="E6" s="57">
        <f>SUMPRODUCT(('3_коефіцієнти_розширеного_аналі'!$B$2:$B$49=$A6)*'3_коефіцієнти_розширеного_аналі'!$R$2:$R$49*'3_коефіцієнти_розширеного_аналі'!$N$2:$N$49)/SUMPRODUCT(('3_коефіцієнти_розширеного_аналі'!$B$2:$B$49=$A6)*'3_коефіцієнти_розширеного_аналі'!$R$2:$R$49)</f>
        <v>0.39044562943262417</v>
      </c>
      <c r="F6" s="57">
        <f>SUMPRODUCT(('3_коефіцієнти_розширеного_аналі'!$B$2:$B$49=$A6)*'3_коефіцієнти_розширеного_аналі'!$R$2:$R$49*'3_коефіцієнти_розширеного_аналі'!$O$2:$O$49)/SUMPRODUCT(('3_коефіцієнти_розширеного_аналі'!$B$2:$B$49=$A6)*'3_коефіцієнти_розширеного_аналі'!$R$2:$R$49)</f>
        <v>0.57589764184397174</v>
      </c>
      <c r="G6" s="57">
        <f>SUMPRODUCT(('3_коефіцієнти_розширеного_аналі'!$B$2:$B$49=$A6)*'3_коефіцієнти_розширеного_аналі'!$R$2:$R$49*'3_коефіцієнти_розширеного_аналі'!$P$2:$P$49)/SUMPRODUCT(('3_коефіцієнти_розширеного_аналі'!$B$2:$B$49=$A6)*'3_коефіцієнти_розширеного_аналі'!$R$2:$R$49)</f>
        <v>0.73712325945626489</v>
      </c>
      <c r="H6" s="152">
        <v>0.09</v>
      </c>
      <c r="I6" s="15" t="s">
        <v>890</v>
      </c>
      <c r="J6" s="15" t="s">
        <v>891</v>
      </c>
      <c r="K6" s="15">
        <f>SUMPRODUCT($H$2:$H$6,G2:G6)</f>
        <v>0.64058531757276149</v>
      </c>
    </row>
    <row r="7" spans="1:11" ht="15" customHeight="1" x14ac:dyDescent="0.25">
      <c r="A7" s="15" t="s">
        <v>133</v>
      </c>
      <c r="B7" s="15" t="s">
        <v>892</v>
      </c>
      <c r="C7" s="57">
        <f>SUMPRODUCT(('3_коефіцієнти_розширеного_аналі'!$B$2:$B$49=$A7)*'3_коефіцієнти_розширеного_аналі'!$R$2:$R$49*'3_коефіцієнти_розширеного_аналі'!$L$2:$L$49)/SUMPRODUCT(('3_коефіцієнти_розширеного_аналі'!$B$2:$B$49=$A7)*'3_коефіцієнти_розширеного_аналі'!$R$2:$R$49)</f>
        <v>0.14193548387096774</v>
      </c>
      <c r="D7" s="57">
        <f>SUMPRODUCT(('3_коефіцієнти_розширеного_аналі'!$B$2:$B$49=$A7)*'3_коефіцієнти_розширеного_аналі'!$R$2:$R$49*'3_коефіцієнти_розширеного_аналі'!$M$2:$M$49)/SUMPRODUCT(('3_коефіцієнти_розширеного_аналі'!$B$2:$B$49=$A7)*'3_коефіцієнти_розширеного_аналі'!$R$2:$R$49)</f>
        <v>0.3209032258064517</v>
      </c>
      <c r="E7" s="57">
        <f>SUMPRODUCT(('3_коефіцієнти_розширеного_аналі'!$B$2:$B$49=$A7)*'3_коефіцієнти_розширеного_аналі'!$R$2:$R$49*'3_коефіцієнти_розширеного_аналі'!$N$2:$N$49)/SUMPRODUCT(('3_коефіцієнти_розширеного_аналі'!$B$2:$B$49=$A7)*'3_коефіцієнти_розширеного_аналі'!$R$2:$R$49)</f>
        <v>0.46206451612903243</v>
      </c>
      <c r="F7" s="57">
        <f>SUMPRODUCT(('3_коефіцієнти_розширеного_аналі'!$B$2:$B$49=$A7)*'3_коефіцієнти_розширеного_аналі'!$R$2:$R$49*'3_коефіцієнти_розширеного_аналі'!$O$2:$O$49)/SUMPRODUCT(('3_коефіцієнти_розширеного_аналі'!$B$2:$B$49=$A7)*'3_коефіцієнти_розширеного_аналі'!$R$2:$R$49)</f>
        <v>0.42200000000000004</v>
      </c>
      <c r="G7" s="57">
        <f>SUMPRODUCT(('3_коефіцієнти_розширеного_аналі'!$B$2:$B$49=$A7)*'3_коефіцієнти_розширеного_аналі'!$R$2:$R$49*'3_коефіцієнти_розширеного_аналі'!$P$2:$P$49)/SUMPRODUCT(('3_коефіцієнти_розширеного_аналі'!$B$2:$B$49=$A7)*'3_коефіцієнти_розширеного_аналі'!$R$2:$R$49)</f>
        <v>0.52812903225806451</v>
      </c>
      <c r="H7" s="153">
        <v>0.08</v>
      </c>
    </row>
    <row r="8" spans="1:11" ht="15" customHeight="1" x14ac:dyDescent="0.25">
      <c r="A8" s="15" t="s">
        <v>135</v>
      </c>
      <c r="B8" s="15" t="s">
        <v>893</v>
      </c>
      <c r="C8" s="57">
        <f>SUMPRODUCT(('3_коефіцієнти_розширеного_аналі'!$B$2:$B$49=$A8)*'3_коефіцієнти_розширеного_аналі'!$R$2:$R$49*'3_коефіцієнти_розширеного_аналі'!$L$2:$L$49)/SUMPRODUCT(('3_коефіцієнти_розширеного_аналі'!$B$2:$B$49=$A8)*'3_коефіцієнти_розширеного_аналі'!$R$2:$R$49)</f>
        <v>0.12623908045977006</v>
      </c>
      <c r="D8" s="57">
        <f>SUMPRODUCT(('3_коефіцієнти_розширеного_аналі'!$B$2:$B$49=$A8)*'3_коефіцієнти_розширеного_аналі'!$R$2:$R$49*'3_коефіцієнти_розширеного_аналі'!$M$2:$M$49)/SUMPRODUCT(('3_коефіцієнти_розширеного_аналі'!$B$2:$B$49=$A8)*'3_коефіцієнти_розширеного_аналі'!$R$2:$R$49)</f>
        <v>0.2754712643678161</v>
      </c>
      <c r="E8" s="57">
        <f>SUMPRODUCT(('3_коефіцієнти_розширеного_аналі'!$B$2:$B$49=$A8)*'3_коефіцієнти_розширеного_аналі'!$R$2:$R$49*'3_коефіцієнти_розширеного_аналі'!$N$2:$N$49)/SUMPRODUCT(('3_коефіцієнти_розширеного_аналі'!$B$2:$B$49=$A8)*'3_коефіцієнти_розширеного_аналі'!$R$2:$R$49)</f>
        <v>0.54257068965517241</v>
      </c>
      <c r="F8" s="57">
        <f>SUMPRODUCT(('3_коефіцієнти_розширеного_аналі'!$B$2:$B$49=$A8)*'3_коефіцієнти_розширеного_аналі'!$R$2:$R$49*'3_коефіцієнти_розширеного_аналі'!$O$2:$O$49)/SUMPRODUCT(('3_коефіцієнти_розширеного_аналі'!$B$2:$B$49=$A8)*'3_коефіцієнти_розширеного_аналі'!$R$2:$R$49)</f>
        <v>0.66212011494252876</v>
      </c>
      <c r="G8" s="57">
        <f>SUMPRODUCT(('3_коефіцієнти_розширеного_аналі'!$B$2:$B$49=$A8)*'3_коефіцієнти_розширеного_аналі'!$R$2:$R$49*'3_коефіцієнти_розширеного_аналі'!$P$2:$P$49)/SUMPRODUCT(('3_коефіцієнти_розширеного_аналі'!$B$2:$B$49=$A8)*'3_коефіцієнти_розширеного_аналі'!$R$2:$R$49)</f>
        <v>0.67140459770114946</v>
      </c>
      <c r="H8" s="153">
        <v>7.0000000000000007E-2</v>
      </c>
    </row>
    <row r="9" spans="1:11" ht="15" customHeight="1" x14ac:dyDescent="0.25">
      <c r="I9" s="154" t="s">
        <v>875</v>
      </c>
      <c r="J9" s="154" t="s">
        <v>614</v>
      </c>
      <c r="K9" s="154" t="s">
        <v>876</v>
      </c>
    </row>
    <row r="10" spans="1:11" ht="15" customHeight="1" x14ac:dyDescent="0.25">
      <c r="I10" s="15" t="s">
        <v>878</v>
      </c>
      <c r="J10" s="15" t="s">
        <v>879</v>
      </c>
      <c r="K10" s="57">
        <f>SUMPRODUCT($H$2:$H$8,C2:C8)</f>
        <v>0.11701607990209381</v>
      </c>
    </row>
    <row r="11" spans="1:11" ht="15" customHeight="1" x14ac:dyDescent="0.25">
      <c r="I11" s="15" t="s">
        <v>881</v>
      </c>
      <c r="J11" s="15" t="s">
        <v>882</v>
      </c>
      <c r="K11" s="57">
        <f>SUMPRODUCT($H$2:$H$8,D2:D8)</f>
        <v>0.27001001724518581</v>
      </c>
    </row>
    <row r="12" spans="1:11" ht="15" customHeight="1" x14ac:dyDescent="0.25">
      <c r="I12" s="15" t="s">
        <v>884</v>
      </c>
      <c r="J12" s="15" t="s">
        <v>885</v>
      </c>
      <c r="K12" s="57">
        <f>SUMPRODUCT($H$2:$H$8,E2:E8)</f>
        <v>0.44528120798551835</v>
      </c>
    </row>
    <row r="13" spans="1:11" ht="15" customHeight="1" x14ac:dyDescent="0.25">
      <c r="I13" s="15" t="s">
        <v>887</v>
      </c>
      <c r="J13" s="15" t="s">
        <v>888</v>
      </c>
      <c r="K13" s="57">
        <f>SUMPRODUCT($H$2:$H$8,F2:F8)</f>
        <v>0.58893847840108493</v>
      </c>
    </row>
    <row r="14" spans="1:11" ht="15" customHeight="1" x14ac:dyDescent="0.25">
      <c r="I14" s="15" t="s">
        <v>890</v>
      </c>
      <c r="J14" s="15" t="s">
        <v>891</v>
      </c>
      <c r="K14" s="57">
        <f>SUMPRODUCT($H$2:$H$8,G2:G8)</f>
        <v>0.72983396199248718</v>
      </c>
    </row>
    <row r="15" spans="1:11" ht="15" customHeight="1" x14ac:dyDescent="0.25">
      <c r="I15" s="15" t="s">
        <v>654</v>
      </c>
      <c r="J15" s="15" t="s">
        <v>690</v>
      </c>
      <c r="K15" s="57">
        <f>0.1*K10+0.15*K11+0.25*K12+0.25*K13+0.25*K14</f>
        <v>0.49321652267175986</v>
      </c>
    </row>
    <row r="16" spans="1:11" ht="15" customHeight="1" x14ac:dyDescent="0.25">
      <c r="I16" s="15" t="s">
        <v>894</v>
      </c>
      <c r="J16" s="15" t="s">
        <v>895</v>
      </c>
      <c r="K16" s="57">
        <f>K14/AVERAGE(K12,K13)</f>
        <v>1.4113712426852156</v>
      </c>
    </row>
    <row r="17" spans="1:11" ht="15" customHeight="1" x14ac:dyDescent="0.25">
      <c r="I17" s="15" t="s">
        <v>150</v>
      </c>
      <c r="J17" s="15" t="s">
        <v>896</v>
      </c>
      <c r="K17" s="57">
        <f>K15*K16</f>
        <v>0.69611161651612252</v>
      </c>
    </row>
    <row r="18" spans="1:11" ht="15" customHeight="1" x14ac:dyDescent="0.25">
      <c r="I18" s="155" t="s">
        <v>875</v>
      </c>
      <c r="J18" s="155" t="s">
        <v>614</v>
      </c>
      <c r="K18" s="155" t="s">
        <v>876</v>
      </c>
    </row>
    <row r="19" spans="1:11" ht="23.25" customHeight="1" x14ac:dyDescent="0.25">
      <c r="I19" s="156" t="s">
        <v>628</v>
      </c>
      <c r="J19" s="157" t="s">
        <v>897</v>
      </c>
      <c r="K19" s="158">
        <f>'5_Mechanistic'!C24</f>
        <v>0.44944761280386281</v>
      </c>
    </row>
    <row r="20" spans="1:11" ht="15" customHeight="1" x14ac:dyDescent="0.25">
      <c r="I20" s="156" t="s">
        <v>630</v>
      </c>
      <c r="J20" s="157" t="s">
        <v>898</v>
      </c>
      <c r="K20" s="158">
        <f>'5_Mechanistic'!C25</f>
        <v>1.4373798228218384</v>
      </c>
    </row>
    <row r="21" spans="1:11" ht="23.25" customHeight="1" x14ac:dyDescent="0.25">
      <c r="I21" s="156" t="s">
        <v>899</v>
      </c>
      <c r="J21" s="157" t="s">
        <v>900</v>
      </c>
      <c r="K21" s="159">
        <f>'5_Mechanistic'!E19</f>
        <v>1</v>
      </c>
    </row>
    <row r="22" spans="1:11" ht="32.25" customHeight="1" x14ac:dyDescent="0.25">
      <c r="J22" s="355" t="s">
        <v>901</v>
      </c>
      <c r="K22" s="355"/>
    </row>
    <row r="25" spans="1:11" ht="15" customHeight="1" x14ac:dyDescent="0.25">
      <c r="J25" s="101" t="s">
        <v>902</v>
      </c>
      <c r="K25" s="104" t="s">
        <v>903</v>
      </c>
    </row>
    <row r="26" spans="1:11" ht="15" customHeight="1" x14ac:dyDescent="0.25">
      <c r="A26" s="15" t="s">
        <v>904</v>
      </c>
      <c r="J26" s="103" t="s">
        <v>905</v>
      </c>
      <c r="K26" s="160" t="s">
        <v>906</v>
      </c>
    </row>
    <row r="27" spans="1:11" ht="33.75" customHeight="1" x14ac:dyDescent="0.25">
      <c r="A27" s="365" t="s">
        <v>907</v>
      </c>
      <c r="B27" s="365"/>
      <c r="C27" s="365"/>
      <c r="D27" s="365"/>
      <c r="E27" s="365"/>
      <c r="F27" s="365"/>
      <c r="G27" s="365"/>
      <c r="H27" s="365"/>
      <c r="I27" s="365"/>
      <c r="J27" s="365"/>
      <c r="K27" s="365"/>
    </row>
    <row r="28" spans="1:11" ht="15" customHeight="1" x14ac:dyDescent="0.25">
      <c r="A28" s="15" t="s">
        <v>908</v>
      </c>
      <c r="J28" s="103" t="s">
        <v>909</v>
      </c>
      <c r="K28" s="160" t="s">
        <v>910</v>
      </c>
    </row>
    <row r="29" spans="1:11" ht="15" customHeight="1" x14ac:dyDescent="0.25">
      <c r="A29" s="15" t="s">
        <v>313</v>
      </c>
      <c r="J29" s="103" t="s">
        <v>608</v>
      </c>
      <c r="K29" s="160" t="s">
        <v>911</v>
      </c>
    </row>
    <row r="30" spans="1:11" ht="15" customHeight="1" x14ac:dyDescent="0.25">
      <c r="A30" s="15" t="s">
        <v>912</v>
      </c>
      <c r="J30" s="103" t="s">
        <v>913</v>
      </c>
      <c r="K30" s="160" t="s">
        <v>914</v>
      </c>
    </row>
    <row r="31" spans="1:11" ht="15" customHeight="1" x14ac:dyDescent="0.25">
      <c r="A31" s="15" t="s">
        <v>313</v>
      </c>
    </row>
    <row r="32" spans="1:11" ht="15" customHeight="1" x14ac:dyDescent="0.25">
      <c r="A32" s="15" t="s">
        <v>269</v>
      </c>
    </row>
    <row r="33" spans="1:11" ht="15" customHeight="1" x14ac:dyDescent="0.25">
      <c r="A33" s="15" t="s">
        <v>272</v>
      </c>
    </row>
    <row r="34" spans="1:11" ht="15" customHeight="1" x14ac:dyDescent="0.25">
      <c r="A34" s="15" t="s">
        <v>278</v>
      </c>
    </row>
    <row r="35" spans="1:11" ht="15" customHeight="1" x14ac:dyDescent="0.25">
      <c r="A35" s="15" t="s">
        <v>281</v>
      </c>
      <c r="J35" s="15" t="s">
        <v>364</v>
      </c>
      <c r="K35" s="15" t="s">
        <v>915</v>
      </c>
    </row>
    <row r="36" spans="1:11" ht="15" customHeight="1" x14ac:dyDescent="0.25">
      <c r="A36" s="15" t="s">
        <v>313</v>
      </c>
      <c r="J36" s="15" t="s">
        <v>123</v>
      </c>
      <c r="K36" s="15">
        <v>0.78600000000000003</v>
      </c>
    </row>
    <row r="37" spans="1:11" ht="15" customHeight="1" x14ac:dyDescent="0.25">
      <c r="A37" s="15" t="s">
        <v>288</v>
      </c>
      <c r="J37" s="15" t="s">
        <v>125</v>
      </c>
      <c r="K37" s="15">
        <v>0.60699999999999998</v>
      </c>
    </row>
    <row r="38" spans="1:11" ht="15" customHeight="1" x14ac:dyDescent="0.25">
      <c r="A38" s="15" t="s">
        <v>313</v>
      </c>
      <c r="J38" s="15" t="s">
        <v>127</v>
      </c>
      <c r="K38" s="15">
        <v>0.77400000000000002</v>
      </c>
    </row>
    <row r="39" spans="1:11" ht="15" customHeight="1" x14ac:dyDescent="0.25">
      <c r="A39" s="15" t="s">
        <v>148</v>
      </c>
      <c r="J39" s="15" t="s">
        <v>129</v>
      </c>
      <c r="K39" s="15">
        <v>0.76200000000000001</v>
      </c>
    </row>
    <row r="40" spans="1:11" ht="15" customHeight="1" x14ac:dyDescent="0.25">
      <c r="A40" s="15" t="s">
        <v>313</v>
      </c>
      <c r="J40" s="15" t="s">
        <v>131</v>
      </c>
      <c r="K40" s="15">
        <v>0.64900000000000002</v>
      </c>
    </row>
    <row r="41" spans="1:11" ht="15" customHeight="1" x14ac:dyDescent="0.25">
      <c r="A41" s="15" t="s">
        <v>654</v>
      </c>
      <c r="J41" s="15" t="s">
        <v>135</v>
      </c>
      <c r="K41" s="15">
        <v>0.625</v>
      </c>
    </row>
    <row r="42" spans="1:11" ht="15" customHeight="1" x14ac:dyDescent="0.25">
      <c r="A42" s="15" t="s">
        <v>313</v>
      </c>
      <c r="J42" s="15" t="s">
        <v>133</v>
      </c>
      <c r="K42" s="15">
        <v>0.54100000000000004</v>
      </c>
    </row>
    <row r="43" spans="1:11" ht="15" customHeight="1" x14ac:dyDescent="0.25">
      <c r="A43" s="15" t="s">
        <v>149</v>
      </c>
    </row>
    <row r="44" spans="1:11" ht="15" customHeight="1" x14ac:dyDescent="0.25">
      <c r="A44" s="15" t="s">
        <v>313</v>
      </c>
      <c r="J44" s="15" t="s">
        <v>819</v>
      </c>
    </row>
    <row r="45" spans="1:11" ht="15" customHeight="1" x14ac:dyDescent="0.25">
      <c r="A45" s="15" t="s">
        <v>150</v>
      </c>
      <c r="J45" s="15" t="s">
        <v>916</v>
      </c>
    </row>
    <row r="46" spans="1:11" ht="15" customHeight="1" x14ac:dyDescent="0.25">
      <c r="J46" s="15" t="s">
        <v>917</v>
      </c>
    </row>
    <row r="47" spans="1:11" ht="15" customHeight="1" x14ac:dyDescent="0.25">
      <c r="J47" s="15" t="s">
        <v>918</v>
      </c>
    </row>
    <row r="48" spans="1:11" ht="15" customHeight="1" x14ac:dyDescent="0.25">
      <c r="J48" s="15" t="s">
        <v>919</v>
      </c>
    </row>
    <row r="57" spans="2:6" ht="15" customHeight="1" x14ac:dyDescent="0.25">
      <c r="B57" s="15" t="s">
        <v>920</v>
      </c>
    </row>
    <row r="59" spans="2:6" ht="15" customHeight="1" x14ac:dyDescent="0.25">
      <c r="B59" s="15" t="s">
        <v>921</v>
      </c>
      <c r="C59" s="15" t="s">
        <v>165</v>
      </c>
      <c r="D59" s="15" t="s">
        <v>172</v>
      </c>
      <c r="E59" s="15" t="s">
        <v>922</v>
      </c>
      <c r="F59" s="15" t="s">
        <v>200</v>
      </c>
    </row>
    <row r="60" spans="2:6" ht="15" customHeight="1" x14ac:dyDescent="0.25">
      <c r="B60" s="15" t="s">
        <v>923</v>
      </c>
      <c r="C60" s="15">
        <v>5.7366666666666699</v>
      </c>
      <c r="D60" s="15">
        <v>43.761904761904802</v>
      </c>
      <c r="E60" s="15">
        <v>3.06233333333333</v>
      </c>
      <c r="F60" s="15">
        <v>104.10952380952401</v>
      </c>
    </row>
    <row r="61" spans="2:6" ht="15" customHeight="1" x14ac:dyDescent="0.25">
      <c r="B61" s="15" t="s">
        <v>924</v>
      </c>
      <c r="C61" s="15">
        <v>5.22765957446809</v>
      </c>
      <c r="D61" s="15">
        <v>39.072340425531898</v>
      </c>
      <c r="E61" s="15">
        <v>2.80076595744681</v>
      </c>
      <c r="F61" s="15">
        <v>107.153191489362</v>
      </c>
    </row>
    <row r="62" spans="2:6" ht="15" customHeight="1" x14ac:dyDescent="0.25">
      <c r="B62" s="15" t="s">
        <v>925</v>
      </c>
      <c r="C62" s="15">
        <v>5.1651282051282097</v>
      </c>
      <c r="D62" s="15">
        <v>37.292307692307702</v>
      </c>
      <c r="E62" s="15">
        <v>2.7160512820512799</v>
      </c>
      <c r="F62" s="15">
        <v>107.58461538461501</v>
      </c>
    </row>
    <row r="63" spans="2:6" ht="15" customHeight="1" x14ac:dyDescent="0.25">
      <c r="B63" s="15" t="s">
        <v>926</v>
      </c>
      <c r="C63" s="15">
        <v>6.1402985074626901</v>
      </c>
      <c r="D63" s="15">
        <v>42.934328358209001</v>
      </c>
      <c r="E63" s="15">
        <v>3.28131343283582</v>
      </c>
      <c r="F63" s="15">
        <v>101.28059701492499</v>
      </c>
    </row>
  </sheetData>
  <sheetProtection password="EBB1" sheet="1" formatColumns="0" formatRows="0" sort="0" autoFilter="0"/>
  <mergeCells count="2">
    <mergeCell ref="J22:K22"/>
    <mergeCell ref="A27:K27"/>
  </mergeCells>
  <pageMargins left="0.75" right="0.75" top="1" bottom="1" header="0.511811023622047" footer="0.511811023622047"/>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N69"/>
  <sheetViews>
    <sheetView zoomScaleNormal="100" workbookViewId="0">
      <selection activeCell="O7" sqref="O7"/>
    </sheetView>
  </sheetViews>
  <sheetFormatPr defaultColWidth="8.7109375" defaultRowHeight="15" x14ac:dyDescent="0.25"/>
  <cols>
    <col min="12" max="12" width="46" style="15" customWidth="1"/>
    <col min="13" max="13" width="50" style="15" customWidth="1"/>
    <col min="14" max="14" width="44" style="15" customWidth="1"/>
  </cols>
  <sheetData>
    <row r="1" spans="3:14" ht="15.75" customHeight="1" x14ac:dyDescent="0.25"/>
    <row r="2" spans="3:14" ht="39.75" customHeight="1" x14ac:dyDescent="0.25">
      <c r="C2" s="161" t="s">
        <v>927</v>
      </c>
      <c r="D2" s="162" t="s">
        <v>816</v>
      </c>
      <c r="E2" s="162" t="s">
        <v>928</v>
      </c>
      <c r="F2" s="162" t="s">
        <v>455</v>
      </c>
      <c r="G2" s="162" t="s">
        <v>929</v>
      </c>
      <c r="H2" s="162" t="s">
        <v>930</v>
      </c>
      <c r="I2" s="162" t="s">
        <v>931</v>
      </c>
      <c r="J2" s="162" t="s">
        <v>710</v>
      </c>
      <c r="K2" s="162" t="s">
        <v>932</v>
      </c>
      <c r="L2" s="16" t="s">
        <v>933</v>
      </c>
      <c r="M2" s="16" t="s">
        <v>934</v>
      </c>
      <c r="N2" s="16" t="s">
        <v>935</v>
      </c>
    </row>
    <row r="3" spans="3:14" ht="73.5" customHeight="1" x14ac:dyDescent="0.25">
      <c r="C3" s="163">
        <v>1</v>
      </c>
      <c r="D3" s="164" t="s">
        <v>165</v>
      </c>
      <c r="E3" s="164" t="s">
        <v>371</v>
      </c>
      <c r="F3" s="164" t="s">
        <v>936</v>
      </c>
      <c r="G3" s="164" t="s">
        <v>937</v>
      </c>
      <c r="H3" s="164" t="s">
        <v>938</v>
      </c>
      <c r="I3" s="164" t="s">
        <v>939</v>
      </c>
      <c r="J3" s="164" t="s">
        <v>940</v>
      </c>
      <c r="K3" s="164" t="s">
        <v>941</v>
      </c>
      <c r="L3" s="165" t="s">
        <v>942</v>
      </c>
      <c r="M3" s="165" t="s">
        <v>943</v>
      </c>
      <c r="N3" s="165" t="s">
        <v>944</v>
      </c>
    </row>
    <row r="4" spans="3:14" ht="73.5" customHeight="1" x14ac:dyDescent="0.25">
      <c r="C4" s="163">
        <v>2</v>
      </c>
      <c r="D4" s="164" t="s">
        <v>166</v>
      </c>
      <c r="E4" s="164" t="s">
        <v>374</v>
      </c>
      <c r="F4" s="164" t="s">
        <v>124</v>
      </c>
      <c r="G4" s="164" t="s">
        <v>937</v>
      </c>
      <c r="H4" s="164" t="s">
        <v>945</v>
      </c>
      <c r="I4" s="164" t="s">
        <v>939</v>
      </c>
      <c r="J4" s="164" t="s">
        <v>940</v>
      </c>
      <c r="K4" s="164" t="s">
        <v>941</v>
      </c>
      <c r="L4" s="166" t="s">
        <v>946</v>
      </c>
      <c r="M4" s="166" t="s">
        <v>947</v>
      </c>
      <c r="N4" s="166" t="s">
        <v>948</v>
      </c>
    </row>
    <row r="5" spans="3:14" ht="73.5" customHeight="1" x14ac:dyDescent="0.25">
      <c r="C5" s="163">
        <v>3</v>
      </c>
      <c r="D5" s="164" t="s">
        <v>172</v>
      </c>
      <c r="E5" s="164" t="s">
        <v>387</v>
      </c>
      <c r="F5" s="164" t="s">
        <v>949</v>
      </c>
      <c r="G5" s="164" t="s">
        <v>950</v>
      </c>
      <c r="H5" s="164" t="s">
        <v>951</v>
      </c>
      <c r="I5" s="164" t="s">
        <v>952</v>
      </c>
      <c r="J5" s="164" t="s">
        <v>953</v>
      </c>
      <c r="K5" s="164" t="s">
        <v>954</v>
      </c>
      <c r="L5" s="165" t="s">
        <v>955</v>
      </c>
      <c r="M5" s="165" t="s">
        <v>956</v>
      </c>
      <c r="N5" s="165" t="s">
        <v>957</v>
      </c>
    </row>
    <row r="6" spans="3:14" ht="73.5" customHeight="1" x14ac:dyDescent="0.25">
      <c r="C6" s="163">
        <v>4</v>
      </c>
      <c r="D6" s="164" t="s">
        <v>168</v>
      </c>
      <c r="E6" s="164" t="s">
        <v>378</v>
      </c>
      <c r="F6" s="164" t="s">
        <v>958</v>
      </c>
      <c r="G6" s="164" t="s">
        <v>959</v>
      </c>
      <c r="H6" s="164" t="s">
        <v>951</v>
      </c>
      <c r="I6" s="164" t="s">
        <v>960</v>
      </c>
      <c r="J6" s="164" t="s">
        <v>953</v>
      </c>
      <c r="K6" s="164" t="s">
        <v>168</v>
      </c>
      <c r="L6" s="166" t="s">
        <v>961</v>
      </c>
      <c r="M6" s="166" t="s">
        <v>962</v>
      </c>
      <c r="N6" s="166" t="s">
        <v>963</v>
      </c>
    </row>
    <row r="7" spans="3:14" ht="73.5" customHeight="1" x14ac:dyDescent="0.25">
      <c r="C7" s="163">
        <v>5</v>
      </c>
      <c r="D7" s="164" t="s">
        <v>169</v>
      </c>
      <c r="E7" s="164" t="s">
        <v>169</v>
      </c>
      <c r="F7" s="164" t="s">
        <v>964</v>
      </c>
      <c r="G7" s="164" t="s">
        <v>951</v>
      </c>
      <c r="H7" s="164" t="s">
        <v>951</v>
      </c>
      <c r="I7" s="164" t="s">
        <v>960</v>
      </c>
      <c r="J7" s="164" t="s">
        <v>953</v>
      </c>
      <c r="K7" s="164" t="s">
        <v>169</v>
      </c>
      <c r="L7" s="165" t="s">
        <v>965</v>
      </c>
      <c r="M7" s="165" t="s">
        <v>966</v>
      </c>
      <c r="N7" s="165" t="s">
        <v>967</v>
      </c>
    </row>
    <row r="8" spans="3:14" ht="73.5" customHeight="1" x14ac:dyDescent="0.25">
      <c r="C8" s="163">
        <v>6</v>
      </c>
      <c r="D8" s="164" t="s">
        <v>170</v>
      </c>
      <c r="E8" s="164" t="s">
        <v>382</v>
      </c>
      <c r="F8" s="164" t="s">
        <v>968</v>
      </c>
      <c r="G8" s="164" t="s">
        <v>951</v>
      </c>
      <c r="H8" s="164" t="s">
        <v>951</v>
      </c>
      <c r="I8" s="164" t="s">
        <v>960</v>
      </c>
      <c r="J8" s="164" t="s">
        <v>953</v>
      </c>
      <c r="K8" s="164" t="s">
        <v>170</v>
      </c>
      <c r="L8" s="166" t="s">
        <v>965</v>
      </c>
      <c r="M8" s="166" t="s">
        <v>969</v>
      </c>
      <c r="N8" s="166" t="s">
        <v>970</v>
      </c>
    </row>
    <row r="9" spans="3:14" ht="73.5" customHeight="1" x14ac:dyDescent="0.25">
      <c r="C9" s="163">
        <v>7</v>
      </c>
      <c r="D9" s="164" t="s">
        <v>167</v>
      </c>
      <c r="E9" s="164" t="s">
        <v>376</v>
      </c>
      <c r="F9" s="164" t="s">
        <v>971</v>
      </c>
      <c r="G9" s="164" t="s">
        <v>951</v>
      </c>
      <c r="H9" s="164" t="s">
        <v>951</v>
      </c>
      <c r="I9" s="164" t="s">
        <v>960</v>
      </c>
      <c r="J9" s="164" t="s">
        <v>953</v>
      </c>
      <c r="K9" s="164" t="s">
        <v>167</v>
      </c>
      <c r="L9" s="165" t="s">
        <v>972</v>
      </c>
      <c r="M9" s="165" t="s">
        <v>973</v>
      </c>
      <c r="N9" s="165" t="s">
        <v>974</v>
      </c>
    </row>
    <row r="10" spans="3:14" ht="73.5" customHeight="1" x14ac:dyDescent="0.25">
      <c r="C10" s="163">
        <v>8</v>
      </c>
      <c r="D10" s="164" t="s">
        <v>206</v>
      </c>
      <c r="E10" s="164" t="s">
        <v>431</v>
      </c>
      <c r="F10" s="164" t="s">
        <v>975</v>
      </c>
      <c r="G10" s="164" t="s">
        <v>951</v>
      </c>
      <c r="H10" s="164" t="s">
        <v>951</v>
      </c>
      <c r="I10" s="164" t="s">
        <v>976</v>
      </c>
      <c r="J10" s="164" t="s">
        <v>977</v>
      </c>
      <c r="K10" s="164" t="s">
        <v>978</v>
      </c>
      <c r="L10" s="166" t="s">
        <v>979</v>
      </c>
      <c r="M10" s="166" t="s">
        <v>980</v>
      </c>
      <c r="N10" s="166" t="s">
        <v>981</v>
      </c>
    </row>
    <row r="11" spans="3:14" ht="73.5" customHeight="1" x14ac:dyDescent="0.25">
      <c r="C11" s="163">
        <v>9</v>
      </c>
      <c r="D11" s="164" t="s">
        <v>205</v>
      </c>
      <c r="E11" s="164" t="s">
        <v>429</v>
      </c>
      <c r="F11" s="164" t="s">
        <v>430</v>
      </c>
      <c r="G11" s="164" t="s">
        <v>951</v>
      </c>
      <c r="H11" s="164" t="s">
        <v>951</v>
      </c>
      <c r="I11" s="164" t="s">
        <v>960</v>
      </c>
      <c r="J11" s="164" t="s">
        <v>977</v>
      </c>
      <c r="K11" s="164" t="s">
        <v>205</v>
      </c>
      <c r="L11" s="165" t="s">
        <v>982</v>
      </c>
      <c r="M11" s="165" t="s">
        <v>983</v>
      </c>
      <c r="N11" s="165" t="s">
        <v>984</v>
      </c>
    </row>
    <row r="12" spans="3:14" ht="73.5" customHeight="1" x14ac:dyDescent="0.25">
      <c r="C12" s="163">
        <v>10</v>
      </c>
      <c r="D12" s="164" t="s">
        <v>985</v>
      </c>
      <c r="E12" s="164" t="s">
        <v>986</v>
      </c>
      <c r="F12" s="164" t="s">
        <v>987</v>
      </c>
      <c r="G12" s="164" t="s">
        <v>951</v>
      </c>
      <c r="H12" s="164" t="s">
        <v>951</v>
      </c>
      <c r="I12" s="164" t="s">
        <v>960</v>
      </c>
      <c r="J12" s="164" t="s">
        <v>977</v>
      </c>
      <c r="K12" s="164" t="s">
        <v>985</v>
      </c>
      <c r="L12" s="166" t="s">
        <v>988</v>
      </c>
      <c r="M12" s="166" t="s">
        <v>989</v>
      </c>
      <c r="N12" s="166" t="s">
        <v>990</v>
      </c>
    </row>
    <row r="13" spans="3:14" ht="73.5" customHeight="1" x14ac:dyDescent="0.25">
      <c r="C13" s="163">
        <v>11</v>
      </c>
      <c r="D13" s="164" t="s">
        <v>182</v>
      </c>
      <c r="E13" s="164" t="s">
        <v>991</v>
      </c>
      <c r="F13" s="164" t="s">
        <v>181</v>
      </c>
      <c r="G13" s="164" t="s">
        <v>951</v>
      </c>
      <c r="H13" s="164" t="s">
        <v>951</v>
      </c>
      <c r="I13" s="164" t="s">
        <v>992</v>
      </c>
      <c r="J13" s="164" t="s">
        <v>993</v>
      </c>
      <c r="K13" s="164" t="s">
        <v>994</v>
      </c>
      <c r="L13" s="165" t="s">
        <v>995</v>
      </c>
      <c r="M13" s="165" t="s">
        <v>996</v>
      </c>
      <c r="N13" s="167" t="s">
        <v>997</v>
      </c>
    </row>
    <row r="14" spans="3:14" ht="73.5" customHeight="1" x14ac:dyDescent="0.25">
      <c r="C14" s="163">
        <v>12</v>
      </c>
      <c r="D14" s="164" t="s">
        <v>998</v>
      </c>
      <c r="E14" s="164" t="s">
        <v>999</v>
      </c>
      <c r="F14" s="164" t="s">
        <v>1000</v>
      </c>
      <c r="G14" s="164" t="s">
        <v>951</v>
      </c>
      <c r="H14" s="164" t="s">
        <v>1001</v>
      </c>
      <c r="I14" s="164" t="s">
        <v>1002</v>
      </c>
      <c r="J14" s="164" t="s">
        <v>993</v>
      </c>
      <c r="K14" s="164" t="s">
        <v>994</v>
      </c>
      <c r="L14" s="166" t="s">
        <v>1003</v>
      </c>
      <c r="M14" s="166" t="s">
        <v>1004</v>
      </c>
      <c r="N14" s="166" t="s">
        <v>1005</v>
      </c>
    </row>
    <row r="15" spans="3:14" ht="73.5" customHeight="1" x14ac:dyDescent="0.25">
      <c r="C15" s="163">
        <v>13</v>
      </c>
      <c r="D15" s="164" t="s">
        <v>1006</v>
      </c>
      <c r="E15" s="164" t="s">
        <v>1007</v>
      </c>
      <c r="F15" s="164" t="s">
        <v>1008</v>
      </c>
      <c r="G15" s="164" t="s">
        <v>951</v>
      </c>
      <c r="H15" s="164" t="s">
        <v>183</v>
      </c>
      <c r="I15" s="164" t="s">
        <v>960</v>
      </c>
      <c r="J15" s="164" t="s">
        <v>993</v>
      </c>
      <c r="K15" s="164" t="s">
        <v>183</v>
      </c>
      <c r="L15" s="165" t="s">
        <v>1009</v>
      </c>
      <c r="M15" s="165" t="s">
        <v>1010</v>
      </c>
      <c r="N15" s="167" t="s">
        <v>1011</v>
      </c>
    </row>
    <row r="16" spans="3:14" ht="73.5" customHeight="1" x14ac:dyDescent="0.25">
      <c r="C16" s="163">
        <v>14</v>
      </c>
      <c r="D16" s="164" t="s">
        <v>1012</v>
      </c>
      <c r="E16" s="164" t="s">
        <v>1013</v>
      </c>
      <c r="F16" s="164" t="s">
        <v>1014</v>
      </c>
      <c r="G16" s="164" t="s">
        <v>951</v>
      </c>
      <c r="H16" s="164" t="s">
        <v>183</v>
      </c>
      <c r="I16" s="164" t="s">
        <v>960</v>
      </c>
      <c r="J16" s="164" t="s">
        <v>993</v>
      </c>
      <c r="K16" s="164" t="s">
        <v>183</v>
      </c>
      <c r="L16" s="166" t="s">
        <v>1015</v>
      </c>
      <c r="M16" s="166" t="s">
        <v>1016</v>
      </c>
      <c r="N16" s="167" t="s">
        <v>1017</v>
      </c>
    </row>
    <row r="17" spans="3:14" ht="73.5" customHeight="1" x14ac:dyDescent="0.25">
      <c r="C17" s="163">
        <v>15</v>
      </c>
      <c r="D17" s="164" t="s">
        <v>174</v>
      </c>
      <c r="E17" s="164" t="s">
        <v>1018</v>
      </c>
      <c r="F17" s="164" t="s">
        <v>394</v>
      </c>
      <c r="G17" s="164" t="s">
        <v>951</v>
      </c>
      <c r="H17" s="164" t="s">
        <v>1019</v>
      </c>
      <c r="I17" s="164" t="s">
        <v>960</v>
      </c>
      <c r="J17" s="164" t="s">
        <v>1020</v>
      </c>
      <c r="K17" s="164" t="s">
        <v>1019</v>
      </c>
      <c r="L17" s="165" t="s">
        <v>1021</v>
      </c>
      <c r="M17" s="165" t="s">
        <v>1022</v>
      </c>
      <c r="N17" s="167" t="s">
        <v>1023</v>
      </c>
    </row>
    <row r="18" spans="3:14" ht="73.5" customHeight="1" x14ac:dyDescent="0.25">
      <c r="C18" s="163">
        <v>16</v>
      </c>
      <c r="D18" s="164" t="s">
        <v>175</v>
      </c>
      <c r="E18" s="164" t="s">
        <v>1024</v>
      </c>
      <c r="F18" s="164" t="s">
        <v>397</v>
      </c>
      <c r="G18" s="164" t="s">
        <v>951</v>
      </c>
      <c r="H18" s="164" t="s">
        <v>1019</v>
      </c>
      <c r="I18" s="164" t="s">
        <v>960</v>
      </c>
      <c r="J18" s="164" t="s">
        <v>1020</v>
      </c>
      <c r="K18" s="164" t="s">
        <v>1019</v>
      </c>
      <c r="L18" s="166" t="s">
        <v>1025</v>
      </c>
      <c r="M18" s="166" t="s">
        <v>1026</v>
      </c>
      <c r="N18" s="167" t="s">
        <v>1027</v>
      </c>
    </row>
    <row r="19" spans="3:14" ht="73.5" customHeight="1" x14ac:dyDescent="0.25">
      <c r="C19" s="163">
        <v>17</v>
      </c>
      <c r="D19" s="164" t="s">
        <v>389</v>
      </c>
      <c r="E19" s="164" t="s">
        <v>390</v>
      </c>
      <c r="F19" s="164" t="s">
        <v>1028</v>
      </c>
      <c r="G19" s="164" t="s">
        <v>951</v>
      </c>
      <c r="H19" s="164" t="s">
        <v>389</v>
      </c>
      <c r="I19" s="164" t="s">
        <v>960</v>
      </c>
      <c r="J19" s="164" t="s">
        <v>1020</v>
      </c>
      <c r="K19" s="164" t="s">
        <v>389</v>
      </c>
      <c r="L19" s="165" t="s">
        <v>1029</v>
      </c>
      <c r="M19" s="165" t="s">
        <v>1030</v>
      </c>
      <c r="N19" s="165" t="s">
        <v>1031</v>
      </c>
    </row>
    <row r="20" spans="3:14" ht="73.5" customHeight="1" x14ac:dyDescent="0.25">
      <c r="C20" s="163">
        <v>18</v>
      </c>
      <c r="D20" s="164" t="s">
        <v>179</v>
      </c>
      <c r="E20" s="164" t="s">
        <v>1032</v>
      </c>
      <c r="F20" s="164" t="s">
        <v>406</v>
      </c>
      <c r="G20" s="164" t="s">
        <v>951</v>
      </c>
      <c r="H20" s="164" t="s">
        <v>179</v>
      </c>
      <c r="I20" s="164" t="s">
        <v>960</v>
      </c>
      <c r="J20" s="164" t="s">
        <v>1020</v>
      </c>
      <c r="K20" s="164" t="s">
        <v>179</v>
      </c>
      <c r="L20" s="166" t="s">
        <v>1033</v>
      </c>
      <c r="M20" s="166" t="s">
        <v>1034</v>
      </c>
      <c r="N20" s="166" t="s">
        <v>1035</v>
      </c>
    </row>
    <row r="21" spans="3:14" ht="73.5" customHeight="1" x14ac:dyDescent="0.25">
      <c r="C21" s="163">
        <v>19</v>
      </c>
      <c r="D21" s="164" t="s">
        <v>177</v>
      </c>
      <c r="E21" s="164" t="s">
        <v>401</v>
      </c>
      <c r="F21" s="164" t="s">
        <v>1036</v>
      </c>
      <c r="G21" s="164" t="s">
        <v>951</v>
      </c>
      <c r="H21" s="164" t="s">
        <v>177</v>
      </c>
      <c r="I21" s="164" t="s">
        <v>960</v>
      </c>
      <c r="J21" s="164" t="s">
        <v>1020</v>
      </c>
      <c r="K21" s="164" t="s">
        <v>177</v>
      </c>
      <c r="L21" s="165" t="s">
        <v>1037</v>
      </c>
      <c r="M21" s="165" t="s">
        <v>1038</v>
      </c>
      <c r="N21" s="165" t="s">
        <v>1039</v>
      </c>
    </row>
    <row r="22" spans="3:14" ht="73.5" customHeight="1" x14ac:dyDescent="0.25">
      <c r="C22" s="163">
        <v>20</v>
      </c>
      <c r="D22" s="164" t="s">
        <v>180</v>
      </c>
      <c r="E22" s="164" t="s">
        <v>403</v>
      </c>
      <c r="F22" s="164" t="s">
        <v>404</v>
      </c>
      <c r="G22" s="164" t="s">
        <v>951</v>
      </c>
      <c r="H22" s="164" t="s">
        <v>180</v>
      </c>
      <c r="I22" s="164" t="s">
        <v>960</v>
      </c>
      <c r="J22" s="164" t="s">
        <v>1020</v>
      </c>
      <c r="K22" s="164" t="s">
        <v>180</v>
      </c>
      <c r="L22" s="166" t="s">
        <v>1040</v>
      </c>
      <c r="M22" s="166" t="s">
        <v>1041</v>
      </c>
      <c r="N22" s="166" t="s">
        <v>984</v>
      </c>
    </row>
    <row r="23" spans="3:14" ht="73.5" customHeight="1" x14ac:dyDescent="0.25">
      <c r="C23" s="163">
        <v>21</v>
      </c>
      <c r="D23" s="164" t="s">
        <v>176</v>
      </c>
      <c r="E23" s="164" t="s">
        <v>1042</v>
      </c>
      <c r="F23" s="164" t="s">
        <v>1043</v>
      </c>
      <c r="G23" s="164" t="s">
        <v>951</v>
      </c>
      <c r="H23" s="164" t="s">
        <v>176</v>
      </c>
      <c r="I23" s="164" t="s">
        <v>960</v>
      </c>
      <c r="J23" s="164" t="s">
        <v>1020</v>
      </c>
      <c r="K23" s="164" t="s">
        <v>1044</v>
      </c>
      <c r="L23" s="165" t="s">
        <v>1045</v>
      </c>
      <c r="M23" s="165" t="s">
        <v>1046</v>
      </c>
      <c r="N23" s="165" t="s">
        <v>1047</v>
      </c>
    </row>
    <row r="24" spans="3:14" ht="73.5" customHeight="1" x14ac:dyDescent="0.25">
      <c r="C24" s="163">
        <v>22</v>
      </c>
      <c r="D24" s="164" t="s">
        <v>488</v>
      </c>
      <c r="E24" s="164" t="s">
        <v>490</v>
      </c>
      <c r="F24" s="164" t="s">
        <v>1048</v>
      </c>
      <c r="G24" s="164" t="s">
        <v>1049</v>
      </c>
      <c r="H24" s="164" t="s">
        <v>488</v>
      </c>
      <c r="I24" s="164" t="s">
        <v>960</v>
      </c>
      <c r="J24" s="164" t="s">
        <v>1050</v>
      </c>
      <c r="K24" s="164" t="s">
        <v>488</v>
      </c>
      <c r="L24" s="166" t="s">
        <v>1051</v>
      </c>
      <c r="M24" s="166" t="s">
        <v>1052</v>
      </c>
      <c r="N24" s="167" t="s">
        <v>1053</v>
      </c>
    </row>
    <row r="25" spans="3:14" ht="73.5" customHeight="1" x14ac:dyDescent="0.25">
      <c r="C25" s="163">
        <v>23</v>
      </c>
      <c r="D25" s="164" t="s">
        <v>493</v>
      </c>
      <c r="E25" s="164" t="s">
        <v>1054</v>
      </c>
      <c r="F25" s="164" t="s">
        <v>1048</v>
      </c>
      <c r="G25" s="164" t="s">
        <v>1049</v>
      </c>
      <c r="H25" s="164" t="s">
        <v>493</v>
      </c>
      <c r="I25" s="164" t="s">
        <v>960</v>
      </c>
      <c r="J25" s="164" t="s">
        <v>1050</v>
      </c>
      <c r="K25" s="164" t="s">
        <v>493</v>
      </c>
      <c r="L25" s="165" t="s">
        <v>1055</v>
      </c>
      <c r="M25" s="165" t="s">
        <v>1056</v>
      </c>
      <c r="N25" s="167" t="s">
        <v>1057</v>
      </c>
    </row>
    <row r="26" spans="3:14" ht="73.5" customHeight="1" x14ac:dyDescent="0.25">
      <c r="C26" s="163">
        <v>24</v>
      </c>
      <c r="D26" s="164" t="s">
        <v>415</v>
      </c>
      <c r="E26" s="164" t="s">
        <v>416</v>
      </c>
      <c r="F26" s="164" t="s">
        <v>1058</v>
      </c>
      <c r="G26" s="164" t="s">
        <v>1059</v>
      </c>
      <c r="H26" s="164" t="s">
        <v>1060</v>
      </c>
      <c r="I26" s="164" t="s">
        <v>1061</v>
      </c>
      <c r="J26" s="164" t="s">
        <v>1062</v>
      </c>
      <c r="K26" s="164" t="s">
        <v>1063</v>
      </c>
      <c r="L26" s="166" t="s">
        <v>1064</v>
      </c>
      <c r="M26" s="166" t="s">
        <v>1065</v>
      </c>
      <c r="N26" s="166" t="s">
        <v>1066</v>
      </c>
    </row>
    <row r="27" spans="3:14" ht="73.5" customHeight="1" x14ac:dyDescent="0.25">
      <c r="C27" s="163">
        <v>25</v>
      </c>
      <c r="D27" s="164" t="s">
        <v>187</v>
      </c>
      <c r="E27" s="164" t="s">
        <v>407</v>
      </c>
      <c r="F27" s="164" t="s">
        <v>1067</v>
      </c>
      <c r="G27" s="164" t="s">
        <v>1068</v>
      </c>
      <c r="H27" s="164" t="s">
        <v>1069</v>
      </c>
      <c r="I27" s="164" t="s">
        <v>1070</v>
      </c>
      <c r="J27" s="164" t="s">
        <v>1071</v>
      </c>
      <c r="K27" s="164" t="s">
        <v>1072</v>
      </c>
      <c r="L27" s="165" t="s">
        <v>1073</v>
      </c>
      <c r="M27" s="165" t="s">
        <v>1074</v>
      </c>
      <c r="N27" s="165" t="s">
        <v>1075</v>
      </c>
    </row>
    <row r="28" spans="3:14" ht="73.5" customHeight="1" x14ac:dyDescent="0.25">
      <c r="C28" s="163">
        <v>26</v>
      </c>
      <c r="D28" s="164" t="s">
        <v>188</v>
      </c>
      <c r="E28" s="164" t="s">
        <v>1076</v>
      </c>
      <c r="F28" s="164" t="s">
        <v>410</v>
      </c>
      <c r="G28" s="164" t="s">
        <v>1068</v>
      </c>
      <c r="H28" s="164" t="s">
        <v>1069</v>
      </c>
      <c r="I28" s="164" t="s">
        <v>1070</v>
      </c>
      <c r="J28" s="164" t="s">
        <v>187</v>
      </c>
      <c r="K28" s="164" t="s">
        <v>1072</v>
      </c>
      <c r="L28" s="166" t="s">
        <v>1077</v>
      </c>
      <c r="M28" s="166" t="s">
        <v>1078</v>
      </c>
      <c r="N28" s="166" t="s">
        <v>1079</v>
      </c>
    </row>
    <row r="29" spans="3:14" ht="73.5" customHeight="1" x14ac:dyDescent="0.25">
      <c r="C29" s="163">
        <v>27</v>
      </c>
      <c r="D29" s="164" t="s">
        <v>189</v>
      </c>
      <c r="E29" s="164" t="s">
        <v>1080</v>
      </c>
      <c r="F29" s="164" t="s">
        <v>1081</v>
      </c>
      <c r="G29" s="164" t="s">
        <v>1068</v>
      </c>
      <c r="H29" s="164" t="s">
        <v>1069</v>
      </c>
      <c r="I29" s="164" t="s">
        <v>1070</v>
      </c>
      <c r="J29" s="164" t="s">
        <v>187</v>
      </c>
      <c r="K29" s="164" t="s">
        <v>1072</v>
      </c>
      <c r="L29" s="165" t="s">
        <v>1082</v>
      </c>
      <c r="M29" s="165" t="s">
        <v>1083</v>
      </c>
      <c r="N29" s="165" t="s">
        <v>1084</v>
      </c>
    </row>
    <row r="30" spans="3:14" ht="73.5" customHeight="1" x14ac:dyDescent="0.25">
      <c r="C30" s="163">
        <v>28</v>
      </c>
      <c r="D30" s="164" t="s">
        <v>190</v>
      </c>
      <c r="E30" s="164" t="s">
        <v>1085</v>
      </c>
      <c r="F30" s="164" t="s">
        <v>414</v>
      </c>
      <c r="G30" s="164" t="s">
        <v>1086</v>
      </c>
      <c r="H30" s="164" t="s">
        <v>1087</v>
      </c>
      <c r="I30" s="164" t="s">
        <v>1088</v>
      </c>
      <c r="J30" s="164" t="s">
        <v>187</v>
      </c>
      <c r="K30" s="164" t="s">
        <v>1072</v>
      </c>
      <c r="L30" s="166" t="s">
        <v>1089</v>
      </c>
      <c r="M30" s="166" t="s">
        <v>1090</v>
      </c>
      <c r="N30" s="166" t="s">
        <v>1091</v>
      </c>
    </row>
    <row r="31" spans="3:14" ht="73.5" customHeight="1" x14ac:dyDescent="0.25">
      <c r="C31" s="163">
        <v>29</v>
      </c>
      <c r="D31" s="164" t="s">
        <v>191</v>
      </c>
      <c r="E31" s="164" t="s">
        <v>1092</v>
      </c>
      <c r="F31" s="164" t="s">
        <v>1093</v>
      </c>
      <c r="G31" s="164" t="s">
        <v>1086</v>
      </c>
      <c r="H31" s="164" t="s">
        <v>1087</v>
      </c>
      <c r="I31" s="164" t="s">
        <v>1088</v>
      </c>
      <c r="J31" s="164" t="s">
        <v>187</v>
      </c>
      <c r="K31" s="164" t="s">
        <v>1072</v>
      </c>
      <c r="L31" s="165" t="s">
        <v>1094</v>
      </c>
      <c r="M31" s="165" t="s">
        <v>1095</v>
      </c>
      <c r="N31" s="165" t="s">
        <v>1091</v>
      </c>
    </row>
    <row r="32" spans="3:14" ht="73.5" customHeight="1" x14ac:dyDescent="0.25">
      <c r="C32" s="163">
        <v>30</v>
      </c>
      <c r="D32" s="164" t="s">
        <v>192</v>
      </c>
      <c r="E32" s="164" t="s">
        <v>1096</v>
      </c>
      <c r="F32" s="164" t="s">
        <v>1097</v>
      </c>
      <c r="G32" s="164" t="s">
        <v>1086</v>
      </c>
      <c r="H32" s="164" t="s">
        <v>1087</v>
      </c>
      <c r="I32" s="164" t="s">
        <v>1098</v>
      </c>
      <c r="J32" s="164" t="s">
        <v>187</v>
      </c>
      <c r="K32" s="164" t="s">
        <v>1072</v>
      </c>
      <c r="L32" s="166" t="s">
        <v>1099</v>
      </c>
      <c r="M32" s="166" t="s">
        <v>1100</v>
      </c>
      <c r="N32" s="166" t="s">
        <v>1101</v>
      </c>
    </row>
    <row r="33" spans="3:14" ht="73.5" customHeight="1" x14ac:dyDescent="0.25">
      <c r="C33" s="163">
        <v>31</v>
      </c>
      <c r="D33" s="164" t="s">
        <v>1102</v>
      </c>
      <c r="E33" s="164" t="s">
        <v>1103</v>
      </c>
      <c r="F33" s="164" t="s">
        <v>1104</v>
      </c>
      <c r="G33" s="164" t="s">
        <v>1105</v>
      </c>
      <c r="H33" s="164" t="s">
        <v>1106</v>
      </c>
      <c r="I33" s="164" t="s">
        <v>976</v>
      </c>
      <c r="J33" s="164" t="s">
        <v>1062</v>
      </c>
      <c r="K33" s="164" t="s">
        <v>1107</v>
      </c>
      <c r="L33" s="165" t="s">
        <v>1108</v>
      </c>
      <c r="M33" s="165" t="s">
        <v>1109</v>
      </c>
      <c r="N33" s="165" t="s">
        <v>1110</v>
      </c>
    </row>
    <row r="34" spans="3:14" ht="73.5" customHeight="1" x14ac:dyDescent="0.25">
      <c r="C34" s="163">
        <v>32</v>
      </c>
      <c r="D34" s="164" t="s">
        <v>1111</v>
      </c>
      <c r="E34" s="164" t="s">
        <v>436</v>
      </c>
      <c r="F34" s="164" t="s">
        <v>1112</v>
      </c>
      <c r="G34" s="164" t="s">
        <v>1113</v>
      </c>
      <c r="H34" s="164" t="s">
        <v>1106</v>
      </c>
      <c r="I34" s="164" t="s">
        <v>976</v>
      </c>
      <c r="J34" s="164" t="s">
        <v>1112</v>
      </c>
      <c r="K34" s="164" t="s">
        <v>1114</v>
      </c>
      <c r="L34" s="166" t="s">
        <v>1115</v>
      </c>
      <c r="M34" s="166" t="s">
        <v>1116</v>
      </c>
      <c r="N34" s="166" t="s">
        <v>1117</v>
      </c>
    </row>
    <row r="35" spans="3:14" ht="73.5" customHeight="1" x14ac:dyDescent="0.25">
      <c r="C35" s="163">
        <v>33</v>
      </c>
      <c r="D35" s="164" t="s">
        <v>519</v>
      </c>
      <c r="E35" s="164" t="s">
        <v>1118</v>
      </c>
      <c r="F35" s="164" t="s">
        <v>1119</v>
      </c>
      <c r="G35" s="164" t="s">
        <v>1120</v>
      </c>
      <c r="H35" s="164" t="s">
        <v>1121</v>
      </c>
      <c r="I35" s="164" t="s">
        <v>1122</v>
      </c>
      <c r="J35" s="164" t="s">
        <v>1062</v>
      </c>
      <c r="K35" s="164" t="s">
        <v>1123</v>
      </c>
      <c r="L35" s="165" t="s">
        <v>1124</v>
      </c>
      <c r="M35" s="165" t="s">
        <v>1125</v>
      </c>
      <c r="N35" s="165" t="s">
        <v>1126</v>
      </c>
    </row>
    <row r="36" spans="3:14" ht="73.5" customHeight="1" x14ac:dyDescent="0.25">
      <c r="C36" s="163">
        <v>34</v>
      </c>
      <c r="D36" s="164" t="s">
        <v>523</v>
      </c>
      <c r="E36" s="164" t="s">
        <v>1127</v>
      </c>
      <c r="F36" s="164" t="s">
        <v>1119</v>
      </c>
      <c r="G36" s="164" t="s">
        <v>1120</v>
      </c>
      <c r="H36" s="164" t="s">
        <v>1121</v>
      </c>
      <c r="I36" s="164" t="s">
        <v>1122</v>
      </c>
      <c r="J36" s="164" t="s">
        <v>1062</v>
      </c>
      <c r="K36" s="164" t="s">
        <v>1123</v>
      </c>
      <c r="L36" s="166" t="s">
        <v>1128</v>
      </c>
      <c r="M36" s="166" t="s">
        <v>1129</v>
      </c>
      <c r="N36" s="166" t="s">
        <v>1130</v>
      </c>
    </row>
    <row r="37" spans="3:14" ht="73.5" customHeight="1" x14ac:dyDescent="0.25">
      <c r="C37" s="163">
        <v>35</v>
      </c>
      <c r="D37" s="164" t="s">
        <v>1131</v>
      </c>
      <c r="E37" s="164" t="s">
        <v>1132</v>
      </c>
      <c r="F37" s="164" t="s">
        <v>1133</v>
      </c>
      <c r="G37" s="164" t="s">
        <v>1134</v>
      </c>
      <c r="H37" s="164" t="s">
        <v>1135</v>
      </c>
      <c r="I37" s="164" t="s">
        <v>1136</v>
      </c>
      <c r="J37" s="164" t="s">
        <v>1062</v>
      </c>
      <c r="K37" s="164" t="s">
        <v>1137</v>
      </c>
      <c r="L37" s="165" t="s">
        <v>1138</v>
      </c>
      <c r="M37" s="165" t="s">
        <v>1139</v>
      </c>
      <c r="N37" s="165" t="s">
        <v>1140</v>
      </c>
    </row>
    <row r="38" spans="3:14" ht="73.5" customHeight="1" x14ac:dyDescent="0.25">
      <c r="C38" s="163">
        <v>36</v>
      </c>
      <c r="D38" s="164" t="s">
        <v>1141</v>
      </c>
      <c r="E38" s="164" t="s">
        <v>1142</v>
      </c>
      <c r="F38" s="164" t="s">
        <v>1143</v>
      </c>
      <c r="G38" s="164" t="s">
        <v>1144</v>
      </c>
      <c r="H38" s="164" t="s">
        <v>1145</v>
      </c>
      <c r="I38" s="164" t="s">
        <v>1146</v>
      </c>
      <c r="J38" s="164" t="s">
        <v>1062</v>
      </c>
      <c r="K38" s="164" t="s">
        <v>1137</v>
      </c>
      <c r="L38" s="166" t="s">
        <v>1147</v>
      </c>
      <c r="M38" s="166" t="s">
        <v>1148</v>
      </c>
      <c r="N38" s="166" t="s">
        <v>1149</v>
      </c>
    </row>
    <row r="39" spans="3:14" ht="73.5" customHeight="1" x14ac:dyDescent="0.25">
      <c r="C39" s="163">
        <v>37</v>
      </c>
      <c r="D39" s="164" t="s">
        <v>1150</v>
      </c>
      <c r="E39" s="164" t="s">
        <v>1151</v>
      </c>
      <c r="F39" s="164" t="s">
        <v>444</v>
      </c>
      <c r="G39" s="164" t="s">
        <v>1152</v>
      </c>
      <c r="H39" s="164" t="s">
        <v>1153</v>
      </c>
      <c r="I39" s="164" t="s">
        <v>992</v>
      </c>
      <c r="J39" s="164" t="s">
        <v>1152</v>
      </c>
      <c r="K39" s="164" t="s">
        <v>1154</v>
      </c>
      <c r="L39" s="165" t="s">
        <v>1155</v>
      </c>
      <c r="M39" s="165" t="s">
        <v>1156</v>
      </c>
      <c r="N39" s="165" t="s">
        <v>1157</v>
      </c>
    </row>
    <row r="40" spans="3:14" ht="73.5" customHeight="1" x14ac:dyDescent="0.25">
      <c r="C40" s="163">
        <v>38</v>
      </c>
      <c r="D40" s="164" t="s">
        <v>197</v>
      </c>
      <c r="E40" s="164" t="s">
        <v>1158</v>
      </c>
      <c r="F40" s="164" t="s">
        <v>1143</v>
      </c>
      <c r="G40" s="164" t="s">
        <v>1159</v>
      </c>
      <c r="H40" s="164" t="s">
        <v>1160</v>
      </c>
      <c r="I40" s="164" t="s">
        <v>1161</v>
      </c>
      <c r="J40" s="164" t="s">
        <v>1071</v>
      </c>
      <c r="K40" s="164" t="s">
        <v>1154</v>
      </c>
      <c r="L40" s="166" t="s">
        <v>1162</v>
      </c>
      <c r="M40" s="166" t="s">
        <v>1163</v>
      </c>
      <c r="N40" s="166" t="s">
        <v>1164</v>
      </c>
    </row>
    <row r="41" spans="3:14" ht="73.5" customHeight="1" x14ac:dyDescent="0.25">
      <c r="C41" s="163">
        <v>39</v>
      </c>
      <c r="D41" s="164" t="s">
        <v>567</v>
      </c>
      <c r="E41" s="164" t="s">
        <v>568</v>
      </c>
      <c r="F41" s="164" t="s">
        <v>1143</v>
      </c>
      <c r="G41" s="164" t="s">
        <v>1152</v>
      </c>
      <c r="H41" s="164" t="s">
        <v>1165</v>
      </c>
      <c r="I41" s="164" t="s">
        <v>1166</v>
      </c>
      <c r="J41" s="164" t="s">
        <v>1071</v>
      </c>
      <c r="K41" s="164" t="s">
        <v>1154</v>
      </c>
      <c r="L41" s="165" t="s">
        <v>1167</v>
      </c>
      <c r="M41" s="165" t="s">
        <v>1168</v>
      </c>
      <c r="N41" s="165" t="s">
        <v>1169</v>
      </c>
    </row>
    <row r="42" spans="3:14" ht="73.5" customHeight="1" x14ac:dyDescent="0.25">
      <c r="C42" s="163">
        <v>40</v>
      </c>
      <c r="D42" s="164" t="s">
        <v>571</v>
      </c>
      <c r="E42" s="164" t="s">
        <v>1170</v>
      </c>
      <c r="F42" s="164" t="s">
        <v>1171</v>
      </c>
      <c r="G42" s="164" t="s">
        <v>1159</v>
      </c>
      <c r="H42" s="164" t="s">
        <v>1160</v>
      </c>
      <c r="I42" s="164" t="s">
        <v>992</v>
      </c>
      <c r="J42" s="164" t="s">
        <v>1152</v>
      </c>
      <c r="K42" s="164" t="s">
        <v>1154</v>
      </c>
      <c r="L42" s="166" t="s">
        <v>1172</v>
      </c>
      <c r="M42" s="166" t="s">
        <v>1173</v>
      </c>
      <c r="N42" s="166" t="s">
        <v>1174</v>
      </c>
    </row>
    <row r="43" spans="3:14" ht="73.5" customHeight="1" x14ac:dyDescent="0.25">
      <c r="C43" s="163">
        <v>41</v>
      </c>
      <c r="D43" s="164" t="s">
        <v>575</v>
      </c>
      <c r="E43" s="164" t="s">
        <v>1175</v>
      </c>
      <c r="F43" s="164" t="s">
        <v>1176</v>
      </c>
      <c r="G43" s="164" t="s">
        <v>1177</v>
      </c>
      <c r="H43" s="164" t="s">
        <v>1160</v>
      </c>
      <c r="I43" s="164" t="s">
        <v>992</v>
      </c>
      <c r="J43" s="164" t="s">
        <v>1152</v>
      </c>
      <c r="K43" s="164" t="s">
        <v>1154</v>
      </c>
      <c r="L43" s="165" t="s">
        <v>1178</v>
      </c>
      <c r="M43" s="165" t="s">
        <v>1179</v>
      </c>
      <c r="N43" s="165" t="s">
        <v>1180</v>
      </c>
    </row>
    <row r="44" spans="3:14" ht="73.5" customHeight="1" x14ac:dyDescent="0.25">
      <c r="C44" s="163">
        <v>42</v>
      </c>
      <c r="D44" s="164" t="s">
        <v>1181</v>
      </c>
      <c r="E44" s="164" t="s">
        <v>1182</v>
      </c>
      <c r="F44" s="164" t="s">
        <v>1171</v>
      </c>
      <c r="G44" s="164" t="s">
        <v>1183</v>
      </c>
      <c r="H44" s="164" t="s">
        <v>1160</v>
      </c>
      <c r="I44" s="164" t="s">
        <v>992</v>
      </c>
      <c r="J44" s="164" t="s">
        <v>1152</v>
      </c>
      <c r="K44" s="164" t="s">
        <v>1154</v>
      </c>
      <c r="L44" s="166" t="s">
        <v>1184</v>
      </c>
      <c r="M44" s="166" t="s">
        <v>1185</v>
      </c>
      <c r="N44" s="166" t="s">
        <v>1186</v>
      </c>
    </row>
    <row r="45" spans="3:14" ht="73.5" customHeight="1" x14ac:dyDescent="0.25">
      <c r="C45" s="163">
        <v>43</v>
      </c>
      <c r="D45" s="164" t="s">
        <v>440</v>
      </c>
      <c r="E45" s="164" t="s">
        <v>1187</v>
      </c>
      <c r="F45" s="164" t="s">
        <v>442</v>
      </c>
      <c r="G45" s="164" t="s">
        <v>1188</v>
      </c>
      <c r="H45" s="164" t="s">
        <v>1189</v>
      </c>
      <c r="I45" s="164" t="s">
        <v>1146</v>
      </c>
      <c r="J45" s="164" t="s">
        <v>1190</v>
      </c>
      <c r="K45" s="164" t="s">
        <v>1191</v>
      </c>
      <c r="L45" s="165" t="s">
        <v>1192</v>
      </c>
      <c r="M45" s="165" t="s">
        <v>1193</v>
      </c>
      <c r="N45" s="165" t="s">
        <v>1194</v>
      </c>
    </row>
    <row r="46" spans="3:14" ht="73.5" customHeight="1" x14ac:dyDescent="0.25">
      <c r="C46" s="163">
        <v>44</v>
      </c>
      <c r="D46" s="164" t="s">
        <v>196</v>
      </c>
      <c r="E46" s="164" t="s">
        <v>196</v>
      </c>
      <c r="F46" s="164" t="s">
        <v>1190</v>
      </c>
      <c r="G46" s="164" t="s">
        <v>1112</v>
      </c>
      <c r="H46" s="164" t="s">
        <v>1195</v>
      </c>
      <c r="I46" s="164" t="s">
        <v>1196</v>
      </c>
      <c r="J46" s="164" t="s">
        <v>1197</v>
      </c>
      <c r="K46" s="164" t="s">
        <v>1198</v>
      </c>
      <c r="L46" s="166" t="s">
        <v>1199</v>
      </c>
      <c r="M46" s="166" t="s">
        <v>1200</v>
      </c>
      <c r="N46" s="167" t="s">
        <v>1201</v>
      </c>
    </row>
    <row r="47" spans="3:14" ht="73.5" customHeight="1" x14ac:dyDescent="0.25">
      <c r="C47" s="163">
        <v>45</v>
      </c>
      <c r="D47" s="164" t="s">
        <v>433</v>
      </c>
      <c r="E47" s="164" t="s">
        <v>434</v>
      </c>
      <c r="F47" s="164" t="s">
        <v>435</v>
      </c>
      <c r="G47" s="164" t="s">
        <v>1202</v>
      </c>
      <c r="H47" s="164" t="s">
        <v>1202</v>
      </c>
      <c r="I47" s="164" t="s">
        <v>976</v>
      </c>
      <c r="J47" s="164" t="s">
        <v>1190</v>
      </c>
      <c r="K47" s="164" t="s">
        <v>1202</v>
      </c>
      <c r="L47" s="165" t="s">
        <v>1203</v>
      </c>
      <c r="M47" s="165" t="s">
        <v>1204</v>
      </c>
      <c r="N47" s="165" t="s">
        <v>1205</v>
      </c>
    </row>
    <row r="48" spans="3:14" ht="73.5" customHeight="1" x14ac:dyDescent="0.25">
      <c r="C48" s="163">
        <v>46</v>
      </c>
      <c r="D48" s="164" t="s">
        <v>438</v>
      </c>
      <c r="E48" s="164" t="s">
        <v>1206</v>
      </c>
      <c r="F48" s="164" t="s">
        <v>1207</v>
      </c>
      <c r="G48" s="164" t="s">
        <v>1208</v>
      </c>
      <c r="H48" s="164" t="s">
        <v>1209</v>
      </c>
      <c r="I48" s="164" t="s">
        <v>1210</v>
      </c>
      <c r="J48" s="164" t="s">
        <v>1211</v>
      </c>
      <c r="K48" s="164" t="s">
        <v>1212</v>
      </c>
      <c r="L48" s="166" t="s">
        <v>1213</v>
      </c>
      <c r="M48" s="166" t="s">
        <v>1214</v>
      </c>
      <c r="N48" s="166" t="s">
        <v>1215</v>
      </c>
    </row>
    <row r="49" spans="3:14" ht="73.5" customHeight="1" x14ac:dyDescent="0.25">
      <c r="C49" s="163">
        <v>47</v>
      </c>
      <c r="D49" s="164" t="s">
        <v>1216</v>
      </c>
      <c r="E49" s="164" t="s">
        <v>1217</v>
      </c>
      <c r="F49" s="164" t="s">
        <v>1218</v>
      </c>
      <c r="G49" s="164" t="s">
        <v>1219</v>
      </c>
      <c r="H49" s="164" t="s">
        <v>1219</v>
      </c>
      <c r="I49" s="164" t="s">
        <v>1220</v>
      </c>
      <c r="J49" s="164" t="s">
        <v>1221</v>
      </c>
      <c r="K49" s="164" t="s">
        <v>1222</v>
      </c>
      <c r="L49" s="165" t="s">
        <v>1223</v>
      </c>
      <c r="M49" s="165" t="s">
        <v>1224</v>
      </c>
      <c r="N49" s="165" t="s">
        <v>1225</v>
      </c>
    </row>
    <row r="50" spans="3:14" ht="73.5" customHeight="1" x14ac:dyDescent="0.25">
      <c r="C50" s="163">
        <v>48</v>
      </c>
      <c r="D50" s="164" t="s">
        <v>1226</v>
      </c>
      <c r="E50" s="164" t="s">
        <v>1227</v>
      </c>
      <c r="F50" s="164" t="s">
        <v>1228</v>
      </c>
      <c r="G50" s="164" t="s">
        <v>1229</v>
      </c>
      <c r="H50" s="164" t="s">
        <v>1219</v>
      </c>
      <c r="I50" s="164" t="s">
        <v>1230</v>
      </c>
      <c r="J50" s="164" t="s">
        <v>1221</v>
      </c>
      <c r="K50" s="164" t="s">
        <v>1222</v>
      </c>
      <c r="L50" s="166" t="s">
        <v>1231</v>
      </c>
      <c r="M50" s="166" t="s">
        <v>1232</v>
      </c>
      <c r="N50" s="166" t="s">
        <v>1233</v>
      </c>
    </row>
    <row r="51" spans="3:14" ht="73.5" customHeight="1" x14ac:dyDescent="0.25">
      <c r="C51" s="163">
        <v>49</v>
      </c>
      <c r="D51" s="164" t="s">
        <v>200</v>
      </c>
      <c r="E51" s="164" t="s">
        <v>421</v>
      </c>
      <c r="F51" s="164" t="s">
        <v>1234</v>
      </c>
      <c r="G51" s="164" t="s">
        <v>1235</v>
      </c>
      <c r="H51" s="164" t="s">
        <v>1236</v>
      </c>
      <c r="I51" s="164" t="s">
        <v>1237</v>
      </c>
      <c r="J51" s="164" t="s">
        <v>1238</v>
      </c>
      <c r="K51" s="164" t="s">
        <v>1239</v>
      </c>
      <c r="L51" s="165" t="s">
        <v>1240</v>
      </c>
      <c r="M51" s="165" t="s">
        <v>1241</v>
      </c>
      <c r="N51" s="165" t="s">
        <v>1242</v>
      </c>
    </row>
    <row r="52" spans="3:14" ht="73.5" customHeight="1" x14ac:dyDescent="0.25">
      <c r="C52" s="163">
        <v>50</v>
      </c>
      <c r="D52" s="164" t="s">
        <v>427</v>
      </c>
      <c r="E52" s="164" t="s">
        <v>427</v>
      </c>
      <c r="F52" s="164" t="s">
        <v>1243</v>
      </c>
      <c r="G52" s="164" t="s">
        <v>1244</v>
      </c>
      <c r="H52" s="164" t="s">
        <v>1245</v>
      </c>
      <c r="I52" s="164" t="s">
        <v>1246</v>
      </c>
      <c r="J52" s="164" t="s">
        <v>1238</v>
      </c>
      <c r="K52" s="164" t="s">
        <v>1247</v>
      </c>
      <c r="L52" s="166" t="s">
        <v>1248</v>
      </c>
      <c r="M52" s="166" t="s">
        <v>1249</v>
      </c>
      <c r="N52" s="166" t="s">
        <v>1250</v>
      </c>
    </row>
    <row r="53" spans="3:14" ht="73.5" customHeight="1" x14ac:dyDescent="0.25">
      <c r="C53" s="163">
        <v>51</v>
      </c>
      <c r="D53" s="164" t="s">
        <v>201</v>
      </c>
      <c r="E53" s="164" t="s">
        <v>1251</v>
      </c>
      <c r="F53" s="164" t="s">
        <v>1252</v>
      </c>
      <c r="G53" s="164" t="s">
        <v>1253</v>
      </c>
      <c r="H53" s="164" t="s">
        <v>1254</v>
      </c>
      <c r="I53" s="164" t="s">
        <v>1255</v>
      </c>
      <c r="J53" s="164" t="s">
        <v>1238</v>
      </c>
      <c r="K53" s="164" t="s">
        <v>1256</v>
      </c>
      <c r="L53" s="165" t="s">
        <v>1257</v>
      </c>
      <c r="M53" s="165" t="s">
        <v>1258</v>
      </c>
      <c r="N53" s="165" t="s">
        <v>1259</v>
      </c>
    </row>
    <row r="54" spans="3:14" ht="73.5" customHeight="1" x14ac:dyDescent="0.25">
      <c r="C54" s="163">
        <v>52</v>
      </c>
      <c r="D54" s="164" t="s">
        <v>202</v>
      </c>
      <c r="E54" s="164" t="s">
        <v>425</v>
      </c>
      <c r="F54" s="164" t="s">
        <v>1260</v>
      </c>
      <c r="G54" s="164" t="s">
        <v>1261</v>
      </c>
      <c r="H54" s="164" t="s">
        <v>1254</v>
      </c>
      <c r="I54" s="164" t="s">
        <v>1262</v>
      </c>
      <c r="J54" s="164" t="s">
        <v>1238</v>
      </c>
      <c r="K54" s="164" t="s">
        <v>1263</v>
      </c>
      <c r="L54" s="166" t="s">
        <v>1264</v>
      </c>
      <c r="M54" s="166" t="s">
        <v>1265</v>
      </c>
      <c r="N54" s="166" t="s">
        <v>1266</v>
      </c>
    </row>
    <row r="55" spans="3:14" ht="73.5" customHeight="1" x14ac:dyDescent="0.25">
      <c r="C55" s="163">
        <v>53</v>
      </c>
      <c r="D55" s="164" t="s">
        <v>1267</v>
      </c>
      <c r="E55" s="164" t="s">
        <v>1268</v>
      </c>
      <c r="F55" s="164" t="s">
        <v>1269</v>
      </c>
      <c r="G55" s="164" t="s">
        <v>1244</v>
      </c>
      <c r="H55" s="164" t="s">
        <v>1245</v>
      </c>
      <c r="I55" s="164" t="s">
        <v>1270</v>
      </c>
      <c r="J55" s="164" t="s">
        <v>1238</v>
      </c>
      <c r="K55" s="164" t="s">
        <v>1271</v>
      </c>
      <c r="L55" s="165" t="s">
        <v>1272</v>
      </c>
      <c r="M55" s="165" t="s">
        <v>1273</v>
      </c>
      <c r="N55" s="165" t="s">
        <v>1274</v>
      </c>
    </row>
    <row r="56" spans="3:14" ht="73.5" customHeight="1" x14ac:dyDescent="0.25">
      <c r="C56" s="163">
        <v>54</v>
      </c>
      <c r="D56" s="164" t="s">
        <v>561</v>
      </c>
      <c r="E56" s="164" t="s">
        <v>561</v>
      </c>
      <c r="F56" s="164" t="s">
        <v>1275</v>
      </c>
      <c r="G56" s="164" t="s">
        <v>1276</v>
      </c>
      <c r="H56" s="164" t="s">
        <v>1277</v>
      </c>
      <c r="I56" s="164" t="s">
        <v>1278</v>
      </c>
      <c r="J56" s="164" t="s">
        <v>1279</v>
      </c>
      <c r="K56" s="164" t="s">
        <v>1280</v>
      </c>
      <c r="L56" s="166" t="s">
        <v>1281</v>
      </c>
      <c r="M56" s="166" t="s">
        <v>1282</v>
      </c>
      <c r="N56" s="166" t="s">
        <v>1283</v>
      </c>
    </row>
    <row r="57" spans="3:14" ht="73.5" customHeight="1" x14ac:dyDescent="0.25">
      <c r="C57" s="163">
        <v>55</v>
      </c>
      <c r="D57" s="164" t="s">
        <v>564</v>
      </c>
      <c r="E57" s="164" t="s">
        <v>1284</v>
      </c>
      <c r="F57" s="164" t="s">
        <v>1285</v>
      </c>
      <c r="G57" s="164" t="s">
        <v>1286</v>
      </c>
      <c r="H57" s="164" t="s">
        <v>1287</v>
      </c>
      <c r="I57" s="164" t="s">
        <v>992</v>
      </c>
      <c r="J57" s="164" t="s">
        <v>1279</v>
      </c>
      <c r="K57" s="164" t="s">
        <v>564</v>
      </c>
      <c r="L57" s="165" t="s">
        <v>1288</v>
      </c>
      <c r="M57" s="165" t="s">
        <v>1289</v>
      </c>
      <c r="N57" s="165" t="s">
        <v>1290</v>
      </c>
    </row>
    <row r="58" spans="3:14" ht="73.5" customHeight="1" x14ac:dyDescent="0.25">
      <c r="C58" s="163">
        <v>56</v>
      </c>
      <c r="D58" s="164" t="s">
        <v>1291</v>
      </c>
      <c r="E58" s="164" t="s">
        <v>1292</v>
      </c>
      <c r="F58" s="164" t="s">
        <v>1293</v>
      </c>
      <c r="G58" s="164" t="s">
        <v>1294</v>
      </c>
      <c r="H58" s="164" t="s">
        <v>1295</v>
      </c>
      <c r="I58" s="164" t="s">
        <v>1296</v>
      </c>
      <c r="J58" s="164" t="s">
        <v>1297</v>
      </c>
      <c r="K58" s="164" t="s">
        <v>1298</v>
      </c>
      <c r="L58" s="166" t="s">
        <v>1299</v>
      </c>
      <c r="M58" s="166" t="s">
        <v>1300</v>
      </c>
      <c r="N58" s="167" t="s">
        <v>1301</v>
      </c>
    </row>
    <row r="59" spans="3:14" ht="73.5" customHeight="1" x14ac:dyDescent="0.25">
      <c r="C59" s="163">
        <v>57</v>
      </c>
      <c r="D59" s="164" t="s">
        <v>288</v>
      </c>
      <c r="E59" s="164" t="s">
        <v>680</v>
      </c>
      <c r="F59" s="164" t="s">
        <v>1302</v>
      </c>
      <c r="G59" s="164" t="s">
        <v>1303</v>
      </c>
      <c r="H59" s="164" t="s">
        <v>1304</v>
      </c>
      <c r="I59" s="164" t="s">
        <v>1002</v>
      </c>
      <c r="J59" s="164" t="s">
        <v>1305</v>
      </c>
      <c r="K59" s="164" t="s">
        <v>1306</v>
      </c>
      <c r="L59" s="165" t="s">
        <v>1307</v>
      </c>
      <c r="M59" s="165" t="s">
        <v>1308</v>
      </c>
      <c r="N59" s="167" t="s">
        <v>1309</v>
      </c>
    </row>
    <row r="60" spans="3:14" ht="73.5" customHeight="1" x14ac:dyDescent="0.25">
      <c r="C60" s="163">
        <v>58</v>
      </c>
      <c r="D60" s="164" t="s">
        <v>1310</v>
      </c>
      <c r="E60" s="164" t="s">
        <v>579</v>
      </c>
      <c r="F60" s="164" t="s">
        <v>1311</v>
      </c>
      <c r="G60" s="164" t="s">
        <v>1312</v>
      </c>
      <c r="H60" s="164" t="s">
        <v>1313</v>
      </c>
      <c r="I60" s="164" t="s">
        <v>976</v>
      </c>
      <c r="J60" s="164" t="s">
        <v>1297</v>
      </c>
      <c r="K60" s="164" t="s">
        <v>941</v>
      </c>
      <c r="L60" s="166" t="s">
        <v>1314</v>
      </c>
      <c r="M60" s="166" t="s">
        <v>1315</v>
      </c>
      <c r="N60" s="166" t="s">
        <v>1316</v>
      </c>
    </row>
    <row r="61" spans="3:14" ht="73.5" customHeight="1" x14ac:dyDescent="0.25">
      <c r="C61" s="163">
        <v>59</v>
      </c>
      <c r="D61" s="164" t="s">
        <v>1317</v>
      </c>
      <c r="E61" s="164" t="s">
        <v>1318</v>
      </c>
      <c r="F61" s="164" t="s">
        <v>1319</v>
      </c>
      <c r="G61" s="164" t="s">
        <v>1320</v>
      </c>
      <c r="H61" s="164" t="s">
        <v>1313</v>
      </c>
      <c r="I61" s="164" t="s">
        <v>1321</v>
      </c>
      <c r="J61" s="164" t="s">
        <v>1297</v>
      </c>
      <c r="K61" s="164" t="s">
        <v>1322</v>
      </c>
      <c r="L61" s="165" t="s">
        <v>1323</v>
      </c>
      <c r="M61" s="165" t="s">
        <v>1324</v>
      </c>
      <c r="N61" s="165" t="s">
        <v>1325</v>
      </c>
    </row>
    <row r="62" spans="3:14" ht="73.5" customHeight="1" x14ac:dyDescent="0.25">
      <c r="C62" s="163">
        <v>60</v>
      </c>
      <c r="D62" s="164" t="s">
        <v>1326</v>
      </c>
      <c r="E62" s="164" t="s">
        <v>1327</v>
      </c>
      <c r="F62" s="164" t="s">
        <v>1328</v>
      </c>
      <c r="G62" s="164" t="s">
        <v>1329</v>
      </c>
      <c r="H62" s="164" t="s">
        <v>1313</v>
      </c>
      <c r="I62" s="164" t="s">
        <v>976</v>
      </c>
      <c r="J62" s="164" t="s">
        <v>1330</v>
      </c>
      <c r="K62" s="164" t="s">
        <v>941</v>
      </c>
      <c r="L62" s="166" t="s">
        <v>1331</v>
      </c>
      <c r="M62" s="166" t="s">
        <v>1332</v>
      </c>
      <c r="N62" s="166" t="s">
        <v>1333</v>
      </c>
    </row>
    <row r="64" spans="3:14" ht="15" customHeight="1" x14ac:dyDescent="0.25">
      <c r="C64" s="9" t="s">
        <v>1334</v>
      </c>
      <c r="D64" s="9"/>
      <c r="E64" s="9"/>
      <c r="F64" s="9"/>
      <c r="G64" s="9"/>
      <c r="H64" s="9"/>
      <c r="I64" s="9"/>
      <c r="J64" s="9"/>
      <c r="K64" s="9"/>
      <c r="L64" s="9"/>
      <c r="M64" s="9"/>
      <c r="N64" s="9"/>
    </row>
    <row r="65" spans="3:14" ht="45.75" customHeight="1" x14ac:dyDescent="0.25">
      <c r="C65" s="11" t="s">
        <v>1335</v>
      </c>
      <c r="D65" s="11"/>
      <c r="E65" s="361" t="s">
        <v>1336</v>
      </c>
      <c r="F65" s="361"/>
      <c r="G65" s="361"/>
      <c r="H65" s="361"/>
      <c r="I65" s="361"/>
      <c r="J65" s="361"/>
      <c r="K65" s="361"/>
      <c r="L65" s="361"/>
      <c r="M65" s="361"/>
      <c r="N65" s="361"/>
    </row>
    <row r="66" spans="3:14" ht="45.75" customHeight="1" x14ac:dyDescent="0.25">
      <c r="C66" s="11" t="s">
        <v>1337</v>
      </c>
      <c r="D66" s="11"/>
      <c r="E66" s="361" t="s">
        <v>1338</v>
      </c>
      <c r="F66" s="361"/>
      <c r="G66" s="361"/>
      <c r="H66" s="361"/>
      <c r="I66" s="361"/>
      <c r="J66" s="361"/>
      <c r="K66" s="361"/>
      <c r="L66" s="361"/>
      <c r="M66" s="361"/>
      <c r="N66" s="361"/>
    </row>
    <row r="67" spans="3:14" ht="45.75" customHeight="1" x14ac:dyDescent="0.25">
      <c r="C67" s="11" t="s">
        <v>1339</v>
      </c>
      <c r="D67" s="11"/>
      <c r="E67" s="361" t="s">
        <v>1340</v>
      </c>
      <c r="F67" s="361"/>
      <c r="G67" s="361"/>
      <c r="H67" s="361"/>
      <c r="I67" s="361"/>
      <c r="J67" s="361"/>
      <c r="K67" s="361"/>
      <c r="L67" s="361"/>
      <c r="M67" s="361"/>
      <c r="N67" s="361"/>
    </row>
    <row r="68" spans="3:14" ht="45.75" customHeight="1" x14ac:dyDescent="0.25">
      <c r="C68" s="11" t="s">
        <v>1341</v>
      </c>
      <c r="D68" s="11"/>
      <c r="E68" s="361" t="s">
        <v>1342</v>
      </c>
      <c r="F68" s="361"/>
      <c r="G68" s="361"/>
      <c r="H68" s="361"/>
      <c r="I68" s="361"/>
      <c r="J68" s="361"/>
      <c r="K68" s="361"/>
      <c r="L68" s="361"/>
      <c r="M68" s="361"/>
      <c r="N68" s="361"/>
    </row>
    <row r="69" spans="3:14" ht="45.75" customHeight="1" x14ac:dyDescent="0.25">
      <c r="C69" s="11" t="s">
        <v>1343</v>
      </c>
      <c r="D69" s="11"/>
      <c r="E69" s="361" t="s">
        <v>1344</v>
      </c>
      <c r="F69" s="361"/>
      <c r="G69" s="361"/>
      <c r="H69" s="361"/>
      <c r="I69" s="361"/>
      <c r="J69" s="361"/>
      <c r="K69" s="361"/>
      <c r="L69" s="361"/>
      <c r="M69" s="361"/>
      <c r="N69" s="361"/>
    </row>
  </sheetData>
  <sheetProtection password="EBB1" sheet="1" formatColumns="0" formatRows="0" sort="0" autoFilter="0"/>
  <mergeCells count="11">
    <mergeCell ref="C67:D67"/>
    <mergeCell ref="E67:N67"/>
    <mergeCell ref="C68:D68"/>
    <mergeCell ref="E68:N68"/>
    <mergeCell ref="C69:D69"/>
    <mergeCell ref="E69:N69"/>
    <mergeCell ref="C64:N64"/>
    <mergeCell ref="C65:D65"/>
    <mergeCell ref="E65:N65"/>
    <mergeCell ref="C66:D66"/>
    <mergeCell ref="E66:N66"/>
  </mergeCells>
  <pageMargins left="0.7" right="0.7" top="0.75" bottom="0.75"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976"/>
  <sheetViews>
    <sheetView topLeftCell="A961" zoomScaleNormal="100" workbookViewId="0">
      <selection activeCell="K6" sqref="K6"/>
    </sheetView>
  </sheetViews>
  <sheetFormatPr defaultColWidth="8.7109375" defaultRowHeight="15" x14ac:dyDescent="0.25"/>
  <cols>
    <col min="3" max="3" width="8.140625" style="15" customWidth="1"/>
    <col min="5" max="5" width="25.85546875" style="15" customWidth="1"/>
    <col min="11" max="11" width="16.28515625" style="15" customWidth="1"/>
    <col min="12" max="27" width="13" style="15" customWidth="1"/>
    <col min="29" max="29" width="30" style="15" customWidth="1"/>
  </cols>
  <sheetData>
    <row r="1" spans="1:36" ht="24" customHeight="1" x14ac:dyDescent="0.25">
      <c r="A1" s="168" t="s">
        <v>1345</v>
      </c>
      <c r="B1" s="168" t="s">
        <v>921</v>
      </c>
      <c r="C1" s="169" t="s">
        <v>1346</v>
      </c>
      <c r="D1" s="169" t="s">
        <v>1347</v>
      </c>
      <c r="E1" s="169" t="s">
        <v>1348</v>
      </c>
      <c r="F1" s="169" t="s">
        <v>1349</v>
      </c>
      <c r="G1" s="169" t="s">
        <v>165</v>
      </c>
      <c r="H1" s="169" t="s">
        <v>172</v>
      </c>
      <c r="I1" s="169" t="s">
        <v>922</v>
      </c>
      <c r="J1" s="169" t="s">
        <v>200</v>
      </c>
      <c r="K1" s="169" t="s">
        <v>578</v>
      </c>
      <c r="L1" s="169" t="s">
        <v>166</v>
      </c>
      <c r="M1" s="169" t="s">
        <v>167</v>
      </c>
      <c r="N1" s="169" t="s">
        <v>398</v>
      </c>
      <c r="O1" s="169" t="s">
        <v>392</v>
      </c>
      <c r="P1" s="169" t="s">
        <v>395</v>
      </c>
      <c r="Q1" s="169" t="s">
        <v>206</v>
      </c>
      <c r="R1" s="169" t="s">
        <v>205</v>
      </c>
      <c r="S1" s="169" t="s">
        <v>188</v>
      </c>
      <c r="T1" s="169" t="s">
        <v>189</v>
      </c>
      <c r="U1" s="169" t="s">
        <v>197</v>
      </c>
      <c r="V1" s="169" t="s">
        <v>433</v>
      </c>
      <c r="W1" s="169" t="s">
        <v>195</v>
      </c>
      <c r="X1" s="169" t="s">
        <v>1350</v>
      </c>
      <c r="Y1" s="169" t="s">
        <v>202</v>
      </c>
      <c r="Z1" s="169" t="s">
        <v>203</v>
      </c>
      <c r="AA1" s="169" t="s">
        <v>560</v>
      </c>
      <c r="AB1" s="50"/>
      <c r="AC1" s="366" t="s">
        <v>1351</v>
      </c>
      <c r="AD1" s="366"/>
      <c r="AE1" s="366"/>
      <c r="AF1" s="366"/>
      <c r="AG1" s="366"/>
      <c r="AH1" s="366"/>
      <c r="AI1" s="366"/>
      <c r="AJ1" s="366"/>
    </row>
    <row r="2" spans="1:36" ht="15" customHeight="1" x14ac:dyDescent="0.25">
      <c r="A2" s="50">
        <v>1</v>
      </c>
      <c r="B2" s="50" t="s">
        <v>923</v>
      </c>
      <c r="C2" s="50" t="s">
        <v>1352</v>
      </c>
      <c r="D2" s="50">
        <v>28</v>
      </c>
      <c r="E2" s="50" t="s">
        <v>1353</v>
      </c>
      <c r="F2" s="50">
        <v>0</v>
      </c>
      <c r="G2" s="50">
        <v>7</v>
      </c>
      <c r="H2" s="50">
        <v>45</v>
      </c>
      <c r="I2" s="50">
        <v>3.05</v>
      </c>
      <c r="J2" s="50">
        <v>87</v>
      </c>
      <c r="K2" s="50">
        <v>100</v>
      </c>
      <c r="L2" s="50">
        <v>6.93</v>
      </c>
      <c r="M2" s="50">
        <v>5.83</v>
      </c>
      <c r="N2" s="50">
        <v>33</v>
      </c>
      <c r="O2" s="50">
        <v>13.5</v>
      </c>
      <c r="P2" s="50">
        <v>13.5</v>
      </c>
      <c r="Q2" s="50">
        <v>49.6</v>
      </c>
      <c r="R2" s="50">
        <v>42.4</v>
      </c>
      <c r="S2" s="50">
        <v>11.2</v>
      </c>
      <c r="T2" s="50">
        <v>33</v>
      </c>
      <c r="U2" s="50">
        <v>5.33</v>
      </c>
      <c r="V2" s="50">
        <v>63.2</v>
      </c>
      <c r="W2" s="50">
        <v>48</v>
      </c>
      <c r="X2" s="50">
        <v>366</v>
      </c>
      <c r="Y2" s="50">
        <v>13.55</v>
      </c>
      <c r="Z2" s="50">
        <v>30.2</v>
      </c>
      <c r="AA2" s="50">
        <v>3.91</v>
      </c>
      <c r="AB2" s="50"/>
      <c r="AC2" s="50"/>
      <c r="AD2" s="50"/>
      <c r="AE2" s="50"/>
      <c r="AF2" s="50"/>
      <c r="AG2" s="50"/>
      <c r="AH2" s="50"/>
      <c r="AI2" s="50"/>
      <c r="AJ2" s="50"/>
    </row>
    <row r="3" spans="1:36" ht="33.75" customHeight="1" x14ac:dyDescent="0.25">
      <c r="A3" s="50">
        <v>1</v>
      </c>
      <c r="B3" s="50" t="s">
        <v>923</v>
      </c>
      <c r="C3" s="50" t="s">
        <v>1352</v>
      </c>
      <c r="D3" s="50">
        <v>28</v>
      </c>
      <c r="E3" s="50" t="s">
        <v>1353</v>
      </c>
      <c r="F3" s="50">
        <v>4</v>
      </c>
      <c r="G3" s="50">
        <v>6.6</v>
      </c>
      <c r="H3" s="50">
        <v>44</v>
      </c>
      <c r="I3" s="50">
        <v>2.97</v>
      </c>
      <c r="J3" s="50">
        <v>85</v>
      </c>
      <c r="K3" s="50">
        <v>94</v>
      </c>
      <c r="L3" s="50">
        <v>6.05</v>
      </c>
      <c r="M3" s="50">
        <v>5.46</v>
      </c>
      <c r="N3" s="50">
        <v>33</v>
      </c>
      <c r="O3" s="50">
        <v>14.7</v>
      </c>
      <c r="P3" s="50">
        <v>12.6</v>
      </c>
      <c r="Q3" s="50">
        <v>47.8</v>
      </c>
      <c r="R3" s="50">
        <v>45.7</v>
      </c>
      <c r="S3" s="50">
        <v>11.8</v>
      </c>
      <c r="T3" s="50">
        <v>33</v>
      </c>
      <c r="U3" s="50">
        <v>4.42</v>
      </c>
      <c r="V3" s="50">
        <v>65.900000000000006</v>
      </c>
      <c r="W3" s="50">
        <v>52</v>
      </c>
      <c r="X3" s="50">
        <v>378</v>
      </c>
      <c r="Y3" s="50">
        <v>13.36</v>
      </c>
      <c r="Z3" s="50">
        <v>32.700000000000003</v>
      </c>
      <c r="AA3" s="50">
        <v>4.0199999999999996</v>
      </c>
      <c r="AB3" s="50"/>
      <c r="AC3" s="367" t="s">
        <v>1354</v>
      </c>
      <c r="AD3" s="367"/>
      <c r="AE3" s="367"/>
      <c r="AF3" s="367"/>
      <c r="AG3" s="367"/>
      <c r="AH3" s="367"/>
      <c r="AI3" s="367"/>
      <c r="AJ3" s="367"/>
    </row>
    <row r="4" spans="1:36" ht="15" customHeight="1" x14ac:dyDescent="0.25">
      <c r="A4" s="50">
        <v>1</v>
      </c>
      <c r="B4" s="50" t="s">
        <v>923</v>
      </c>
      <c r="C4" s="50" t="s">
        <v>1352</v>
      </c>
      <c r="D4" s="50">
        <v>28</v>
      </c>
      <c r="E4" s="50" t="s">
        <v>1353</v>
      </c>
      <c r="F4" s="50">
        <v>8</v>
      </c>
      <c r="G4" s="50">
        <v>6.2</v>
      </c>
      <c r="H4" s="50">
        <v>41</v>
      </c>
      <c r="I4" s="50">
        <v>2.73</v>
      </c>
      <c r="J4" s="50">
        <v>89</v>
      </c>
      <c r="K4" s="50">
        <v>89</v>
      </c>
      <c r="L4" s="50">
        <v>6.09</v>
      </c>
      <c r="M4" s="50">
        <v>5.28</v>
      </c>
      <c r="N4" s="50">
        <v>30</v>
      </c>
      <c r="O4" s="50">
        <v>13.2</v>
      </c>
      <c r="P4" s="50">
        <v>11.5</v>
      </c>
      <c r="Q4" s="50">
        <v>45.6</v>
      </c>
      <c r="R4" s="50">
        <v>47.3</v>
      </c>
      <c r="S4" s="50">
        <v>13.8</v>
      </c>
      <c r="T4" s="50">
        <v>35</v>
      </c>
      <c r="U4" s="50">
        <v>4.43</v>
      </c>
      <c r="V4" s="50">
        <v>64.5</v>
      </c>
      <c r="W4" s="50">
        <v>51</v>
      </c>
      <c r="X4" s="50">
        <v>390</v>
      </c>
      <c r="Y4" s="50">
        <v>13.2</v>
      </c>
      <c r="Z4" s="50">
        <v>32.700000000000003</v>
      </c>
      <c r="AA4" s="50">
        <v>4.2</v>
      </c>
      <c r="AB4" s="50"/>
      <c r="AC4" s="50"/>
      <c r="AD4" s="50"/>
      <c r="AE4" s="50"/>
      <c r="AF4" s="50"/>
      <c r="AG4" s="50"/>
      <c r="AH4" s="50"/>
      <c r="AI4" s="50"/>
      <c r="AJ4" s="50"/>
    </row>
    <row r="5" spans="1:36" ht="51.75" customHeight="1" x14ac:dyDescent="0.25">
      <c r="A5" s="50">
        <v>1</v>
      </c>
      <c r="B5" s="50" t="s">
        <v>923</v>
      </c>
      <c r="C5" s="50" t="s">
        <v>1352</v>
      </c>
      <c r="D5" s="50">
        <v>28</v>
      </c>
      <c r="E5" s="50" t="s">
        <v>1353</v>
      </c>
      <c r="F5" s="50">
        <v>12</v>
      </c>
      <c r="G5" s="50">
        <v>5.9</v>
      </c>
      <c r="H5" s="50">
        <v>39</v>
      </c>
      <c r="I5" s="50">
        <v>2.61</v>
      </c>
      <c r="J5" s="50">
        <v>96</v>
      </c>
      <c r="K5" s="50">
        <v>83</v>
      </c>
      <c r="L5" s="50">
        <v>5.56</v>
      </c>
      <c r="M5" s="50">
        <v>4.91</v>
      </c>
      <c r="N5" s="50">
        <v>31</v>
      </c>
      <c r="O5" s="50">
        <v>13.7</v>
      </c>
      <c r="P5" s="50">
        <v>12.6</v>
      </c>
      <c r="Q5" s="50">
        <v>46</v>
      </c>
      <c r="R5" s="50">
        <v>47.8</v>
      </c>
      <c r="S5" s="50">
        <v>17.3</v>
      </c>
      <c r="T5" s="50">
        <v>37</v>
      </c>
      <c r="U5" s="50">
        <v>4.4000000000000004</v>
      </c>
      <c r="V5" s="50">
        <v>64.900000000000006</v>
      </c>
      <c r="W5" s="50">
        <v>53</v>
      </c>
      <c r="X5" s="50">
        <v>400</v>
      </c>
      <c r="Y5" s="50">
        <v>12.55</v>
      </c>
      <c r="Z5" s="50">
        <v>33.200000000000003</v>
      </c>
      <c r="AA5" s="50">
        <v>4.09</v>
      </c>
      <c r="AB5" s="50"/>
      <c r="AC5" s="368"/>
      <c r="AD5" s="368"/>
      <c r="AE5" s="368"/>
      <c r="AF5" s="368"/>
      <c r="AG5" s="368"/>
      <c r="AH5" s="368"/>
      <c r="AI5" s="368"/>
      <c r="AJ5" s="368"/>
    </row>
    <row r="6" spans="1:36" ht="15" customHeight="1" x14ac:dyDescent="0.25">
      <c r="A6" s="50">
        <v>1</v>
      </c>
      <c r="B6" s="50" t="s">
        <v>923</v>
      </c>
      <c r="C6" s="50" t="s">
        <v>1352</v>
      </c>
      <c r="D6" s="50">
        <v>28</v>
      </c>
      <c r="E6" s="50" t="s">
        <v>1353</v>
      </c>
      <c r="F6" s="50">
        <v>21</v>
      </c>
      <c r="G6" s="50">
        <v>4.7</v>
      </c>
      <c r="H6" s="50">
        <v>34</v>
      </c>
      <c r="I6" s="50">
        <v>2.25</v>
      </c>
      <c r="J6" s="50">
        <v>101</v>
      </c>
      <c r="K6" s="50">
        <v>71</v>
      </c>
      <c r="L6" s="50">
        <v>4.71</v>
      </c>
      <c r="M6" s="50">
        <v>4.3499999999999996</v>
      </c>
      <c r="N6" s="50">
        <v>27</v>
      </c>
      <c r="O6" s="50">
        <v>13</v>
      </c>
      <c r="P6" s="50">
        <v>10.199999999999999</v>
      </c>
      <c r="Q6" s="50">
        <v>35.9</v>
      </c>
      <c r="R6" s="50">
        <v>52.4</v>
      </c>
      <c r="S6" s="50">
        <v>24</v>
      </c>
      <c r="T6" s="50">
        <v>54</v>
      </c>
      <c r="U6" s="50">
        <v>4.0199999999999996</v>
      </c>
      <c r="V6" s="50">
        <v>68.5</v>
      </c>
      <c r="W6" s="50">
        <v>61</v>
      </c>
      <c r="X6" s="50">
        <v>443</v>
      </c>
      <c r="Y6" s="50">
        <v>11.88</v>
      </c>
      <c r="Z6" s="50">
        <v>33.9</v>
      </c>
      <c r="AA6" s="50">
        <v>4.78</v>
      </c>
      <c r="AB6" s="50"/>
      <c r="AC6" s="50"/>
      <c r="AD6" s="50"/>
      <c r="AE6" s="50"/>
      <c r="AF6" s="50"/>
      <c r="AG6" s="50"/>
      <c r="AH6" s="50"/>
      <c r="AI6" s="50"/>
      <c r="AJ6" s="50"/>
    </row>
    <row r="7" spans="1:36" ht="15" customHeight="1" x14ac:dyDescent="0.25">
      <c r="A7" s="50">
        <v>2</v>
      </c>
      <c r="B7" s="50" t="s">
        <v>923</v>
      </c>
      <c r="C7" s="50" t="s">
        <v>1352</v>
      </c>
      <c r="D7" s="50">
        <v>44</v>
      </c>
      <c r="E7" s="50" t="s">
        <v>1355</v>
      </c>
      <c r="F7" s="50">
        <v>0</v>
      </c>
      <c r="G7" s="50">
        <v>6.9</v>
      </c>
      <c r="H7" s="50">
        <v>41</v>
      </c>
      <c r="I7" s="50">
        <v>2.98</v>
      </c>
      <c r="J7" s="50">
        <v>97</v>
      </c>
      <c r="K7" s="50">
        <v>100</v>
      </c>
      <c r="L7" s="50">
        <v>7.71</v>
      </c>
      <c r="M7" s="50">
        <v>6.71</v>
      </c>
      <c r="N7" s="50">
        <v>51</v>
      </c>
      <c r="O7" s="50">
        <v>12.7</v>
      </c>
      <c r="P7" s="50">
        <v>11.2</v>
      </c>
      <c r="Q7" s="50">
        <v>44.3</v>
      </c>
      <c r="R7" s="50">
        <v>20.9</v>
      </c>
      <c r="S7" s="50">
        <v>14.7</v>
      </c>
      <c r="T7" s="50">
        <v>42</v>
      </c>
      <c r="U7" s="50">
        <v>12.18</v>
      </c>
      <c r="V7" s="50">
        <v>59.4</v>
      </c>
      <c r="W7" s="50">
        <v>33</v>
      </c>
      <c r="X7" s="50">
        <v>436</v>
      </c>
      <c r="Y7" s="50">
        <v>15.34</v>
      </c>
      <c r="Z7" s="50">
        <v>24.8</v>
      </c>
      <c r="AA7" s="50">
        <v>6.26</v>
      </c>
      <c r="AB7" s="50"/>
      <c r="AC7" s="50"/>
      <c r="AD7" s="50"/>
      <c r="AE7" s="50"/>
      <c r="AF7" s="50"/>
      <c r="AG7" s="50"/>
      <c r="AH7" s="50"/>
      <c r="AI7" s="50"/>
      <c r="AJ7" s="50"/>
    </row>
    <row r="8" spans="1:36" ht="39.75" customHeight="1" x14ac:dyDescent="0.25">
      <c r="A8" s="50">
        <v>2</v>
      </c>
      <c r="B8" s="50" t="s">
        <v>923</v>
      </c>
      <c r="C8" s="50" t="s">
        <v>1352</v>
      </c>
      <c r="D8" s="50">
        <v>44</v>
      </c>
      <c r="E8" s="50" t="s">
        <v>1355</v>
      </c>
      <c r="F8" s="50">
        <v>4</v>
      </c>
      <c r="G8" s="50">
        <v>6.3</v>
      </c>
      <c r="H8" s="50">
        <v>40</v>
      </c>
      <c r="I8" s="50">
        <v>2.98</v>
      </c>
      <c r="J8" s="50">
        <v>101</v>
      </c>
      <c r="K8" s="50">
        <v>94</v>
      </c>
      <c r="L8" s="50">
        <v>6.84</v>
      </c>
      <c r="M8" s="50">
        <v>5.91</v>
      </c>
      <c r="N8" s="50">
        <v>49</v>
      </c>
      <c r="O8" s="50">
        <v>13</v>
      </c>
      <c r="P8" s="50">
        <v>11</v>
      </c>
      <c r="Q8" s="50">
        <v>41.6</v>
      </c>
      <c r="R8" s="50">
        <v>30.2</v>
      </c>
      <c r="S8" s="50">
        <v>16.899999999999999</v>
      </c>
      <c r="T8" s="50">
        <v>49</v>
      </c>
      <c r="U8" s="50">
        <v>11.66</v>
      </c>
      <c r="V8" s="50">
        <v>58.9</v>
      </c>
      <c r="W8" s="50">
        <v>35</v>
      </c>
      <c r="X8" s="50">
        <v>451</v>
      </c>
      <c r="Y8" s="50">
        <v>15.18</v>
      </c>
      <c r="Z8" s="50">
        <v>25</v>
      </c>
      <c r="AA8" s="50">
        <v>6.26</v>
      </c>
      <c r="AB8" s="50"/>
      <c r="AC8" s="369" t="s">
        <v>1356</v>
      </c>
      <c r="AD8" s="369"/>
      <c r="AE8" s="369"/>
      <c r="AF8" s="369"/>
      <c r="AG8" s="369"/>
      <c r="AH8" s="369"/>
      <c r="AI8" s="369"/>
      <c r="AJ8" s="369"/>
    </row>
    <row r="9" spans="1:36" ht="15" customHeight="1" x14ac:dyDescent="0.25">
      <c r="A9" s="50">
        <v>2</v>
      </c>
      <c r="B9" s="50" t="s">
        <v>923</v>
      </c>
      <c r="C9" s="50" t="s">
        <v>1352</v>
      </c>
      <c r="D9" s="50">
        <v>44</v>
      </c>
      <c r="E9" s="50" t="s">
        <v>1355</v>
      </c>
      <c r="F9" s="50">
        <v>8</v>
      </c>
      <c r="G9" s="50">
        <v>6.1</v>
      </c>
      <c r="H9" s="50">
        <v>38</v>
      </c>
      <c r="I9" s="50">
        <v>2.64</v>
      </c>
      <c r="J9" s="50">
        <v>98</v>
      </c>
      <c r="K9" s="50">
        <v>89</v>
      </c>
      <c r="L9" s="50">
        <v>6.63</v>
      </c>
      <c r="M9" s="50">
        <v>5.76</v>
      </c>
      <c r="N9" s="50">
        <v>47</v>
      </c>
      <c r="O9" s="50">
        <v>12.6</v>
      </c>
      <c r="P9" s="50">
        <v>11</v>
      </c>
      <c r="Q9" s="50">
        <v>44.5</v>
      </c>
      <c r="R9" s="50">
        <v>31.5</v>
      </c>
      <c r="S9" s="50">
        <v>19.5</v>
      </c>
      <c r="T9" s="50">
        <v>47</v>
      </c>
      <c r="U9" s="50">
        <v>11.05</v>
      </c>
      <c r="V9" s="50">
        <v>61.4</v>
      </c>
      <c r="W9" s="50">
        <v>38</v>
      </c>
      <c r="X9" s="50">
        <v>455</v>
      </c>
      <c r="Y9" s="50">
        <v>14.49</v>
      </c>
      <c r="Z9" s="50">
        <v>25.8</v>
      </c>
      <c r="AA9" s="50">
        <v>6.07</v>
      </c>
      <c r="AB9" s="50"/>
      <c r="AC9" s="50"/>
      <c r="AD9" s="50"/>
      <c r="AE9" s="50"/>
      <c r="AF9" s="50"/>
      <c r="AG9" s="50"/>
      <c r="AH9" s="50"/>
      <c r="AI9" s="50"/>
      <c r="AJ9" s="50"/>
    </row>
    <row r="10" spans="1:36" ht="15" customHeight="1" x14ac:dyDescent="0.25">
      <c r="A10" s="50">
        <v>2</v>
      </c>
      <c r="B10" s="50" t="s">
        <v>923</v>
      </c>
      <c r="C10" s="50" t="s">
        <v>1352</v>
      </c>
      <c r="D10" s="50">
        <v>44</v>
      </c>
      <c r="E10" s="50" t="s">
        <v>1355</v>
      </c>
      <c r="F10" s="50">
        <v>12</v>
      </c>
      <c r="G10" s="50">
        <v>5.7</v>
      </c>
      <c r="H10" s="50">
        <v>34</v>
      </c>
      <c r="I10" s="50">
        <v>2.48</v>
      </c>
      <c r="J10" s="50">
        <v>102</v>
      </c>
      <c r="K10" s="50">
        <v>83</v>
      </c>
      <c r="L10" s="50">
        <v>6.08</v>
      </c>
      <c r="M10" s="50">
        <v>5.45</v>
      </c>
      <c r="N10" s="50">
        <v>47</v>
      </c>
      <c r="O10" s="50">
        <v>12.4</v>
      </c>
      <c r="P10" s="50">
        <v>10.199999999999999</v>
      </c>
      <c r="Q10" s="50">
        <v>40.5</v>
      </c>
      <c r="R10" s="50">
        <v>36.5</v>
      </c>
      <c r="S10" s="50">
        <v>18.2</v>
      </c>
      <c r="T10" s="50">
        <v>45</v>
      </c>
      <c r="U10" s="50">
        <v>10.99</v>
      </c>
      <c r="V10" s="50">
        <v>63.6</v>
      </c>
      <c r="W10" s="50">
        <v>41</v>
      </c>
      <c r="X10" s="50">
        <v>466</v>
      </c>
      <c r="Y10" s="50">
        <v>14.11</v>
      </c>
      <c r="Z10" s="50">
        <v>28.7</v>
      </c>
      <c r="AA10" s="50">
        <v>6.49</v>
      </c>
      <c r="AB10" s="50"/>
      <c r="AC10" s="50"/>
      <c r="AD10" s="50"/>
      <c r="AE10" s="50"/>
      <c r="AF10" s="50"/>
      <c r="AG10" s="50"/>
      <c r="AH10" s="50"/>
      <c r="AI10" s="50"/>
      <c r="AJ10" s="50"/>
    </row>
    <row r="11" spans="1:36" ht="51.75" customHeight="1" x14ac:dyDescent="0.25">
      <c r="A11" s="50">
        <v>2</v>
      </c>
      <c r="B11" s="50" t="s">
        <v>923</v>
      </c>
      <c r="C11" s="50" t="s">
        <v>1352</v>
      </c>
      <c r="D11" s="50">
        <v>44</v>
      </c>
      <c r="E11" s="50" t="s">
        <v>1355</v>
      </c>
      <c r="F11" s="50">
        <v>21</v>
      </c>
      <c r="G11" s="50">
        <v>4.3</v>
      </c>
      <c r="H11" s="50">
        <v>30</v>
      </c>
      <c r="I11" s="50">
        <v>2.2400000000000002</v>
      </c>
      <c r="J11" s="50">
        <v>112</v>
      </c>
      <c r="K11" s="50">
        <v>71</v>
      </c>
      <c r="L11" s="50">
        <v>4.6500000000000004</v>
      </c>
      <c r="M11" s="50">
        <v>4.08</v>
      </c>
      <c r="N11" s="50">
        <v>40</v>
      </c>
      <c r="O11" s="50">
        <v>10.3</v>
      </c>
      <c r="P11" s="50">
        <v>10</v>
      </c>
      <c r="Q11" s="50">
        <v>28.9</v>
      </c>
      <c r="R11" s="50">
        <v>48.5</v>
      </c>
      <c r="S11" s="50">
        <v>25</v>
      </c>
      <c r="T11" s="50">
        <v>58</v>
      </c>
      <c r="U11" s="50">
        <v>8.89</v>
      </c>
      <c r="V11" s="50">
        <v>63.8</v>
      </c>
      <c r="W11" s="50">
        <v>52</v>
      </c>
      <c r="X11" s="50">
        <v>482</v>
      </c>
      <c r="Y11" s="50">
        <v>11.57</v>
      </c>
      <c r="Z11" s="50">
        <v>31.7</v>
      </c>
      <c r="AA11" s="50">
        <v>6.17</v>
      </c>
      <c r="AB11" s="50"/>
      <c r="AC11" s="370"/>
      <c r="AD11" s="370"/>
      <c r="AE11" s="370"/>
      <c r="AF11" s="370"/>
      <c r="AG11" s="370"/>
      <c r="AH11" s="370"/>
      <c r="AI11" s="370"/>
      <c r="AJ11" s="370"/>
    </row>
    <row r="12" spans="1:36" ht="15" customHeight="1" x14ac:dyDescent="0.25">
      <c r="A12" s="50">
        <v>3</v>
      </c>
      <c r="B12" s="50" t="s">
        <v>923</v>
      </c>
      <c r="C12" s="50" t="s">
        <v>1357</v>
      </c>
      <c r="D12" s="50">
        <v>31</v>
      </c>
      <c r="E12" s="50" t="s">
        <v>1353</v>
      </c>
      <c r="F12" s="50">
        <v>0</v>
      </c>
      <c r="G12" s="50">
        <v>6.6</v>
      </c>
      <c r="H12" s="50">
        <v>46</v>
      </c>
      <c r="I12" s="50">
        <v>4.1399999999999997</v>
      </c>
      <c r="J12" s="50">
        <v>92</v>
      </c>
      <c r="K12" s="50">
        <v>100</v>
      </c>
      <c r="L12" s="50">
        <v>6.59</v>
      </c>
      <c r="M12" s="50">
        <v>6.21</v>
      </c>
      <c r="N12" s="50">
        <v>54</v>
      </c>
      <c r="O12" s="50">
        <v>11</v>
      </c>
      <c r="P12" s="50">
        <v>12.1</v>
      </c>
      <c r="Q12" s="50">
        <v>50.7</v>
      </c>
      <c r="R12" s="50">
        <v>40.200000000000003</v>
      </c>
      <c r="S12" s="50">
        <v>16.2</v>
      </c>
      <c r="T12" s="50">
        <v>45</v>
      </c>
      <c r="U12" s="50">
        <v>8.9</v>
      </c>
      <c r="V12" s="50">
        <v>51.2</v>
      </c>
      <c r="W12" s="50">
        <v>50</v>
      </c>
      <c r="X12" s="50">
        <v>420</v>
      </c>
      <c r="Y12" s="50">
        <v>15.76</v>
      </c>
      <c r="Z12" s="50">
        <v>18</v>
      </c>
      <c r="AA12" s="50">
        <v>5.52</v>
      </c>
      <c r="AB12" s="50"/>
      <c r="AC12" s="50"/>
      <c r="AD12" s="50"/>
      <c r="AE12" s="50"/>
      <c r="AF12" s="50"/>
      <c r="AG12" s="50"/>
      <c r="AH12" s="50"/>
      <c r="AI12" s="50"/>
      <c r="AJ12" s="50"/>
    </row>
    <row r="13" spans="1:36" ht="15" customHeight="1" x14ac:dyDescent="0.25">
      <c r="A13" s="50">
        <v>3</v>
      </c>
      <c r="B13" s="50" t="s">
        <v>923</v>
      </c>
      <c r="C13" s="50" t="s">
        <v>1357</v>
      </c>
      <c r="D13" s="50">
        <v>31</v>
      </c>
      <c r="E13" s="50" t="s">
        <v>1353</v>
      </c>
      <c r="F13" s="50">
        <v>4</v>
      </c>
      <c r="G13" s="50">
        <v>6.3</v>
      </c>
      <c r="H13" s="50">
        <v>41</v>
      </c>
      <c r="I13" s="50">
        <v>3.93</v>
      </c>
      <c r="J13" s="50">
        <v>96</v>
      </c>
      <c r="K13" s="50">
        <v>94</v>
      </c>
      <c r="L13" s="50">
        <v>6.02</v>
      </c>
      <c r="M13" s="50">
        <v>6.17</v>
      </c>
      <c r="N13" s="50">
        <v>53</v>
      </c>
      <c r="O13" s="50">
        <v>11.1</v>
      </c>
      <c r="P13" s="50">
        <v>11.5</v>
      </c>
      <c r="Q13" s="50">
        <v>50.5</v>
      </c>
      <c r="R13" s="50">
        <v>38</v>
      </c>
      <c r="S13" s="50">
        <v>17.5</v>
      </c>
      <c r="T13" s="50">
        <v>44</v>
      </c>
      <c r="U13" s="50">
        <v>8</v>
      </c>
      <c r="V13" s="50">
        <v>53</v>
      </c>
      <c r="W13" s="50">
        <v>52</v>
      </c>
      <c r="X13" s="50">
        <v>432</v>
      </c>
      <c r="Y13" s="50">
        <v>15.71</v>
      </c>
      <c r="Z13" s="50">
        <v>19</v>
      </c>
      <c r="AA13" s="50">
        <v>5.79</v>
      </c>
      <c r="AB13" s="50"/>
      <c r="AC13" s="50"/>
      <c r="AD13" s="50"/>
      <c r="AE13" s="50"/>
      <c r="AF13" s="50"/>
      <c r="AG13" s="50"/>
      <c r="AH13" s="50"/>
      <c r="AI13" s="50"/>
      <c r="AJ13" s="50"/>
    </row>
    <row r="14" spans="1:36" ht="15" customHeight="1" x14ac:dyDescent="0.25">
      <c r="A14" s="50">
        <v>3</v>
      </c>
      <c r="B14" s="50" t="s">
        <v>923</v>
      </c>
      <c r="C14" s="50" t="s">
        <v>1357</v>
      </c>
      <c r="D14" s="50">
        <v>31</v>
      </c>
      <c r="E14" s="50" t="s">
        <v>1353</v>
      </c>
      <c r="F14" s="50">
        <v>8</v>
      </c>
      <c r="G14" s="50">
        <v>5.9</v>
      </c>
      <c r="H14" s="50">
        <v>40</v>
      </c>
      <c r="I14" s="50">
        <v>3.69</v>
      </c>
      <c r="J14" s="50">
        <v>98</v>
      </c>
      <c r="K14" s="50">
        <v>89</v>
      </c>
      <c r="L14" s="50">
        <v>5.78</v>
      </c>
      <c r="M14" s="50">
        <v>5.67</v>
      </c>
      <c r="N14" s="50">
        <v>50</v>
      </c>
      <c r="O14" s="50">
        <v>10.199999999999999</v>
      </c>
      <c r="P14" s="50">
        <v>12.2</v>
      </c>
      <c r="Q14" s="50">
        <v>46.1</v>
      </c>
      <c r="R14" s="50">
        <v>41.6</v>
      </c>
      <c r="S14" s="50">
        <v>20.2</v>
      </c>
      <c r="T14" s="50">
        <v>46</v>
      </c>
      <c r="U14" s="50">
        <v>7.52</v>
      </c>
      <c r="V14" s="50">
        <v>57</v>
      </c>
      <c r="W14" s="50">
        <v>51</v>
      </c>
      <c r="X14" s="50">
        <v>443</v>
      </c>
      <c r="Y14" s="50">
        <v>14.7</v>
      </c>
      <c r="Z14" s="50">
        <v>19.3</v>
      </c>
      <c r="AA14" s="50">
        <v>5.88</v>
      </c>
      <c r="AB14" s="50"/>
      <c r="AC14" s="50"/>
      <c r="AD14" s="50"/>
      <c r="AE14" s="50"/>
      <c r="AF14" s="50"/>
      <c r="AG14" s="50"/>
      <c r="AH14" s="50"/>
      <c r="AI14" s="50"/>
      <c r="AJ14" s="50"/>
    </row>
    <row r="15" spans="1:36" ht="39.75" customHeight="1" x14ac:dyDescent="0.25">
      <c r="A15" s="50">
        <v>3</v>
      </c>
      <c r="B15" s="50" t="s">
        <v>923</v>
      </c>
      <c r="C15" s="50" t="s">
        <v>1357</v>
      </c>
      <c r="D15" s="50">
        <v>31</v>
      </c>
      <c r="E15" s="50" t="s">
        <v>1353</v>
      </c>
      <c r="F15" s="50">
        <v>12</v>
      </c>
      <c r="G15" s="50">
        <v>5.3</v>
      </c>
      <c r="H15" s="50">
        <v>39</v>
      </c>
      <c r="I15" s="50">
        <v>3.52</v>
      </c>
      <c r="J15" s="50">
        <v>107</v>
      </c>
      <c r="K15" s="50">
        <v>83</v>
      </c>
      <c r="L15" s="50">
        <v>5.57</v>
      </c>
      <c r="M15" s="50">
        <v>5.77</v>
      </c>
      <c r="N15" s="50">
        <v>47</v>
      </c>
      <c r="O15" s="50">
        <v>11</v>
      </c>
      <c r="P15" s="50">
        <v>10.5</v>
      </c>
      <c r="Q15" s="50">
        <v>39.700000000000003</v>
      </c>
      <c r="R15" s="50">
        <v>47.1</v>
      </c>
      <c r="S15" s="50">
        <v>23.1</v>
      </c>
      <c r="T15" s="50">
        <v>49</v>
      </c>
      <c r="U15" s="50">
        <v>7.84</v>
      </c>
      <c r="V15" s="50">
        <v>59.4</v>
      </c>
      <c r="W15" s="50">
        <v>59</v>
      </c>
      <c r="X15" s="50">
        <v>438</v>
      </c>
      <c r="Y15" s="50">
        <v>14.23</v>
      </c>
      <c r="Z15" s="50">
        <v>23.2</v>
      </c>
      <c r="AA15" s="50">
        <v>5.93</v>
      </c>
      <c r="AB15" s="50"/>
      <c r="AC15" s="370"/>
      <c r="AD15" s="370"/>
      <c r="AE15" s="370"/>
      <c r="AF15" s="370"/>
      <c r="AG15" s="370"/>
      <c r="AH15" s="370"/>
      <c r="AI15" s="370"/>
      <c r="AJ15" s="370"/>
    </row>
    <row r="16" spans="1:36" ht="15" customHeight="1" x14ac:dyDescent="0.25">
      <c r="A16" s="50">
        <v>3</v>
      </c>
      <c r="B16" s="50" t="s">
        <v>923</v>
      </c>
      <c r="C16" s="50" t="s">
        <v>1357</v>
      </c>
      <c r="D16" s="50">
        <v>31</v>
      </c>
      <c r="E16" s="50" t="s">
        <v>1353</v>
      </c>
      <c r="F16" s="50">
        <v>21</v>
      </c>
      <c r="G16" s="50">
        <v>4.4000000000000004</v>
      </c>
      <c r="H16" s="50">
        <v>34</v>
      </c>
      <c r="I16" s="50">
        <v>2.97</v>
      </c>
      <c r="J16" s="50">
        <v>106</v>
      </c>
      <c r="K16" s="50">
        <v>71</v>
      </c>
      <c r="L16" s="50">
        <v>4.2300000000000004</v>
      </c>
      <c r="M16" s="50">
        <v>5.1100000000000003</v>
      </c>
      <c r="N16" s="50">
        <v>41</v>
      </c>
      <c r="O16" s="50">
        <v>9.9</v>
      </c>
      <c r="P16" s="50">
        <v>9.6999999999999993</v>
      </c>
      <c r="Q16" s="50">
        <v>39.299999999999997</v>
      </c>
      <c r="R16" s="50">
        <v>51.9</v>
      </c>
      <c r="S16" s="50">
        <v>25.2</v>
      </c>
      <c r="T16" s="50">
        <v>54</v>
      </c>
      <c r="U16" s="50">
        <v>7.14</v>
      </c>
      <c r="V16" s="50">
        <v>61.5</v>
      </c>
      <c r="W16" s="50">
        <v>62</v>
      </c>
      <c r="X16" s="50">
        <v>472</v>
      </c>
      <c r="Y16" s="50">
        <v>12.89</v>
      </c>
      <c r="Z16" s="50">
        <v>27</v>
      </c>
      <c r="AA16" s="50">
        <v>6.2</v>
      </c>
      <c r="AB16" s="50"/>
      <c r="AC16" s="50"/>
      <c r="AD16" s="50"/>
      <c r="AE16" s="50"/>
      <c r="AF16" s="50"/>
      <c r="AG16" s="50"/>
      <c r="AH16" s="50"/>
      <c r="AI16" s="50"/>
      <c r="AJ16" s="50"/>
    </row>
    <row r="17" spans="1:36" ht="15" customHeight="1" x14ac:dyDescent="0.25">
      <c r="A17" s="50">
        <v>4</v>
      </c>
      <c r="B17" s="50" t="s">
        <v>923</v>
      </c>
      <c r="C17" s="50" t="s">
        <v>1357</v>
      </c>
      <c r="D17" s="50">
        <v>40</v>
      </c>
      <c r="E17" s="50" t="s">
        <v>1353</v>
      </c>
      <c r="F17" s="50">
        <v>0</v>
      </c>
      <c r="G17" s="50">
        <v>6.4</v>
      </c>
      <c r="H17" s="50">
        <v>43</v>
      </c>
      <c r="I17" s="50">
        <v>3.96</v>
      </c>
      <c r="J17" s="50">
        <v>104</v>
      </c>
      <c r="K17" s="50">
        <v>100</v>
      </c>
      <c r="L17" s="50">
        <v>5.41</v>
      </c>
      <c r="M17" s="50">
        <v>6.76</v>
      </c>
      <c r="N17" s="50">
        <v>43</v>
      </c>
      <c r="O17" s="50">
        <v>10.7</v>
      </c>
      <c r="P17" s="50">
        <v>12.8</v>
      </c>
      <c r="Q17" s="50">
        <v>58.9</v>
      </c>
      <c r="R17" s="50">
        <v>24.2</v>
      </c>
      <c r="S17" s="50">
        <v>18.3</v>
      </c>
      <c r="T17" s="50">
        <v>36</v>
      </c>
      <c r="U17" s="50">
        <v>5.44</v>
      </c>
      <c r="V17" s="50">
        <v>55.3</v>
      </c>
      <c r="W17" s="50">
        <v>32</v>
      </c>
      <c r="X17" s="50">
        <v>389</v>
      </c>
      <c r="Y17" s="50">
        <v>12.3</v>
      </c>
      <c r="Z17" s="50">
        <v>25.3</v>
      </c>
      <c r="AA17" s="50">
        <v>4.08</v>
      </c>
      <c r="AB17" s="50"/>
      <c r="AC17" s="50"/>
      <c r="AD17" s="50"/>
      <c r="AE17" s="50"/>
      <c r="AF17" s="50"/>
      <c r="AG17" s="50"/>
      <c r="AH17" s="50"/>
      <c r="AI17" s="50"/>
      <c r="AJ17" s="50"/>
    </row>
    <row r="18" spans="1:36" ht="51.75" customHeight="1" x14ac:dyDescent="0.25">
      <c r="A18" s="50">
        <v>4</v>
      </c>
      <c r="B18" s="50" t="s">
        <v>923</v>
      </c>
      <c r="C18" s="50" t="s">
        <v>1357</v>
      </c>
      <c r="D18" s="50">
        <v>40</v>
      </c>
      <c r="E18" s="50" t="s">
        <v>1353</v>
      </c>
      <c r="F18" s="50">
        <v>4</v>
      </c>
      <c r="G18" s="50">
        <v>5.9</v>
      </c>
      <c r="H18" s="50">
        <v>40</v>
      </c>
      <c r="I18" s="50">
        <v>3.74</v>
      </c>
      <c r="J18" s="50">
        <v>102</v>
      </c>
      <c r="K18" s="50">
        <v>94</v>
      </c>
      <c r="L18" s="50">
        <v>5.21</v>
      </c>
      <c r="M18" s="50">
        <v>6.25</v>
      </c>
      <c r="N18" s="50">
        <v>40</v>
      </c>
      <c r="O18" s="50">
        <v>11</v>
      </c>
      <c r="P18" s="50">
        <v>12.7</v>
      </c>
      <c r="Q18" s="50">
        <v>56.3</v>
      </c>
      <c r="R18" s="50">
        <v>29.4</v>
      </c>
      <c r="S18" s="50">
        <v>19.5</v>
      </c>
      <c r="T18" s="50">
        <v>41</v>
      </c>
      <c r="U18" s="50">
        <v>5.63</v>
      </c>
      <c r="V18" s="50">
        <v>56.4</v>
      </c>
      <c r="W18" s="50">
        <v>40</v>
      </c>
      <c r="X18" s="50">
        <v>409</v>
      </c>
      <c r="Y18" s="50">
        <v>11.79</v>
      </c>
      <c r="Z18" s="50">
        <v>27.5</v>
      </c>
      <c r="AA18" s="50">
        <v>4.18</v>
      </c>
      <c r="AB18" s="50"/>
      <c r="AC18" s="371" t="s">
        <v>1358</v>
      </c>
      <c r="AD18" s="371"/>
      <c r="AE18" s="371"/>
      <c r="AF18" s="371"/>
      <c r="AG18" s="371"/>
      <c r="AH18" s="371"/>
      <c r="AI18" s="371"/>
      <c r="AJ18" s="371"/>
    </row>
    <row r="19" spans="1:36" ht="15" customHeight="1" x14ac:dyDescent="0.25">
      <c r="A19" s="50">
        <v>4</v>
      </c>
      <c r="B19" s="50" t="s">
        <v>923</v>
      </c>
      <c r="C19" s="50" t="s">
        <v>1357</v>
      </c>
      <c r="D19" s="50">
        <v>40</v>
      </c>
      <c r="E19" s="50" t="s">
        <v>1353</v>
      </c>
      <c r="F19" s="50">
        <v>8</v>
      </c>
      <c r="G19" s="50">
        <v>5.7</v>
      </c>
      <c r="H19" s="50">
        <v>38</v>
      </c>
      <c r="I19" s="50">
        <v>3.57</v>
      </c>
      <c r="J19" s="50">
        <v>107</v>
      </c>
      <c r="K19" s="50">
        <v>89</v>
      </c>
      <c r="L19" s="50">
        <v>4.8499999999999996</v>
      </c>
      <c r="M19" s="50">
        <v>6.12</v>
      </c>
      <c r="N19" s="50">
        <v>37</v>
      </c>
      <c r="O19" s="50">
        <v>10.6</v>
      </c>
      <c r="P19" s="50">
        <v>12.1</v>
      </c>
      <c r="Q19" s="50">
        <v>50.8</v>
      </c>
      <c r="R19" s="50">
        <v>30.4</v>
      </c>
      <c r="S19" s="50">
        <v>20.3</v>
      </c>
      <c r="T19" s="50">
        <v>41</v>
      </c>
      <c r="U19" s="50">
        <v>6.27</v>
      </c>
      <c r="V19" s="50">
        <v>59.4</v>
      </c>
      <c r="W19" s="50">
        <v>39</v>
      </c>
      <c r="X19" s="50">
        <v>404</v>
      </c>
      <c r="Y19" s="50">
        <v>11.51</v>
      </c>
      <c r="Z19" s="50">
        <v>26.6</v>
      </c>
      <c r="AA19" s="50">
        <v>4.08</v>
      </c>
      <c r="AB19" s="50"/>
      <c r="AC19" s="50"/>
      <c r="AD19" s="50"/>
      <c r="AE19" s="50"/>
      <c r="AF19" s="50"/>
      <c r="AG19" s="50"/>
      <c r="AH19" s="50"/>
      <c r="AI19" s="50"/>
      <c r="AJ19" s="50"/>
    </row>
    <row r="20" spans="1:36" ht="15" customHeight="1" x14ac:dyDescent="0.25">
      <c r="A20" s="50">
        <v>4</v>
      </c>
      <c r="B20" s="50" t="s">
        <v>923</v>
      </c>
      <c r="C20" s="50" t="s">
        <v>1357</v>
      </c>
      <c r="D20" s="50">
        <v>40</v>
      </c>
      <c r="E20" s="50" t="s">
        <v>1353</v>
      </c>
      <c r="F20" s="50">
        <v>12</v>
      </c>
      <c r="G20" s="50">
        <v>5</v>
      </c>
      <c r="H20" s="50">
        <v>35</v>
      </c>
      <c r="I20" s="50">
        <v>3.35</v>
      </c>
      <c r="J20" s="50">
        <v>108</v>
      </c>
      <c r="K20" s="50">
        <v>83</v>
      </c>
      <c r="L20" s="50">
        <v>4.3899999999999997</v>
      </c>
      <c r="M20" s="50">
        <v>5.31</v>
      </c>
      <c r="N20" s="50">
        <v>37</v>
      </c>
      <c r="O20" s="50">
        <v>10.9</v>
      </c>
      <c r="P20" s="50">
        <v>12.4</v>
      </c>
      <c r="Q20" s="50">
        <v>45.6</v>
      </c>
      <c r="R20" s="50">
        <v>34.1</v>
      </c>
      <c r="S20" s="50">
        <v>23.8</v>
      </c>
      <c r="T20" s="50">
        <v>49</v>
      </c>
      <c r="U20" s="50">
        <v>5.14</v>
      </c>
      <c r="V20" s="50">
        <v>62.3</v>
      </c>
      <c r="W20" s="50">
        <v>43</v>
      </c>
      <c r="X20" s="50">
        <v>436</v>
      </c>
      <c r="Y20" s="50">
        <v>10.73</v>
      </c>
      <c r="Z20" s="50">
        <v>31.1</v>
      </c>
      <c r="AA20" s="50">
        <v>4.79</v>
      </c>
      <c r="AB20" s="50"/>
      <c r="AC20" s="50"/>
      <c r="AD20" s="50"/>
      <c r="AE20" s="50"/>
      <c r="AF20" s="50"/>
      <c r="AG20" s="50"/>
      <c r="AH20" s="50"/>
      <c r="AI20" s="50"/>
      <c r="AJ20" s="50"/>
    </row>
    <row r="21" spans="1:36" ht="15" customHeight="1" x14ac:dyDescent="0.25">
      <c r="A21" s="50">
        <v>4</v>
      </c>
      <c r="B21" s="50" t="s">
        <v>923</v>
      </c>
      <c r="C21" s="50" t="s">
        <v>1357</v>
      </c>
      <c r="D21" s="50">
        <v>40</v>
      </c>
      <c r="E21" s="50" t="s">
        <v>1353</v>
      </c>
      <c r="F21" s="50">
        <v>21</v>
      </c>
      <c r="G21" s="50">
        <v>4.0999999999999996</v>
      </c>
      <c r="H21" s="50">
        <v>31</v>
      </c>
      <c r="I21" s="50">
        <v>3.02</v>
      </c>
      <c r="J21" s="50">
        <v>116</v>
      </c>
      <c r="K21" s="50">
        <v>71</v>
      </c>
      <c r="L21" s="50">
        <v>4.0999999999999996</v>
      </c>
      <c r="M21" s="50">
        <v>4.49</v>
      </c>
      <c r="N21" s="50">
        <v>33</v>
      </c>
      <c r="O21" s="50">
        <v>9.8000000000000007</v>
      </c>
      <c r="P21" s="50">
        <v>10.8</v>
      </c>
      <c r="Q21" s="50">
        <v>40.4</v>
      </c>
      <c r="R21" s="50">
        <v>42.3</v>
      </c>
      <c r="S21" s="50">
        <v>25.5</v>
      </c>
      <c r="T21" s="50">
        <v>54</v>
      </c>
      <c r="U21" s="50">
        <v>5.09</v>
      </c>
      <c r="V21" s="50">
        <v>62.3</v>
      </c>
      <c r="W21" s="50">
        <v>54</v>
      </c>
      <c r="X21" s="50">
        <v>477</v>
      </c>
      <c r="Y21" s="50">
        <v>9.8699999999999992</v>
      </c>
      <c r="Z21" s="50">
        <v>34.4</v>
      </c>
      <c r="AA21" s="50">
        <v>4.97</v>
      </c>
      <c r="AB21" s="50"/>
      <c r="AC21" s="50"/>
      <c r="AD21" s="50"/>
      <c r="AE21" s="50"/>
      <c r="AF21" s="50"/>
      <c r="AG21" s="50"/>
      <c r="AH21" s="50"/>
      <c r="AI21" s="50"/>
      <c r="AJ21" s="50"/>
    </row>
    <row r="22" spans="1:36" ht="15" customHeight="1" x14ac:dyDescent="0.25">
      <c r="A22" s="50">
        <v>5</v>
      </c>
      <c r="B22" s="50" t="s">
        <v>923</v>
      </c>
      <c r="C22" s="50" t="s">
        <v>1352</v>
      </c>
      <c r="D22" s="50">
        <v>38</v>
      </c>
      <c r="E22" s="50" t="s">
        <v>1359</v>
      </c>
      <c r="F22" s="50">
        <v>0</v>
      </c>
      <c r="G22" s="50">
        <v>5.9</v>
      </c>
      <c r="H22" s="50">
        <v>42</v>
      </c>
      <c r="I22" s="50">
        <v>3.56</v>
      </c>
      <c r="J22" s="50">
        <v>117</v>
      </c>
      <c r="K22" s="50">
        <v>100</v>
      </c>
      <c r="L22" s="50">
        <v>6.71</v>
      </c>
      <c r="M22" s="50">
        <v>6.45</v>
      </c>
      <c r="N22" s="50">
        <v>47</v>
      </c>
      <c r="O22" s="50">
        <v>14.5</v>
      </c>
      <c r="P22" s="50">
        <v>12.3</v>
      </c>
      <c r="Q22" s="50">
        <v>62.2</v>
      </c>
      <c r="R22" s="50">
        <v>48.4</v>
      </c>
      <c r="S22" s="50">
        <v>19.899999999999999</v>
      </c>
      <c r="T22" s="50">
        <v>45</v>
      </c>
      <c r="U22" s="50">
        <v>15.21</v>
      </c>
      <c r="V22" s="50">
        <v>51.2</v>
      </c>
      <c r="W22" s="50">
        <v>22</v>
      </c>
      <c r="X22" s="50">
        <v>378</v>
      </c>
      <c r="Y22" s="50">
        <v>17.3</v>
      </c>
      <c r="Z22" s="50">
        <v>28.5</v>
      </c>
      <c r="AA22" s="50">
        <v>4.7</v>
      </c>
      <c r="AB22" s="50"/>
      <c r="AC22" s="50"/>
      <c r="AD22" s="50"/>
      <c r="AE22" s="50"/>
      <c r="AF22" s="50"/>
      <c r="AG22" s="50"/>
      <c r="AH22" s="50"/>
      <c r="AI22" s="50"/>
      <c r="AJ22" s="50"/>
    </row>
    <row r="23" spans="1:36" ht="15" customHeight="1" x14ac:dyDescent="0.25">
      <c r="A23" s="50">
        <v>5</v>
      </c>
      <c r="B23" s="50" t="s">
        <v>923</v>
      </c>
      <c r="C23" s="50" t="s">
        <v>1352</v>
      </c>
      <c r="D23" s="50">
        <v>38</v>
      </c>
      <c r="E23" s="50" t="s">
        <v>1359</v>
      </c>
      <c r="F23" s="50">
        <v>4</v>
      </c>
      <c r="G23" s="50">
        <v>5.4</v>
      </c>
      <c r="H23" s="50">
        <v>39</v>
      </c>
      <c r="I23" s="50">
        <v>3.3</v>
      </c>
      <c r="J23" s="50">
        <v>113</v>
      </c>
      <c r="K23" s="50">
        <v>94</v>
      </c>
      <c r="L23" s="50">
        <v>6.02</v>
      </c>
      <c r="M23" s="50">
        <v>5.99</v>
      </c>
      <c r="N23" s="50">
        <v>45</v>
      </c>
      <c r="O23" s="50">
        <v>13.5</v>
      </c>
      <c r="P23" s="50">
        <v>12.3</v>
      </c>
      <c r="Q23" s="50">
        <v>60.1</v>
      </c>
      <c r="R23" s="50">
        <v>50.5</v>
      </c>
      <c r="S23" s="50">
        <v>22.9</v>
      </c>
      <c r="T23" s="50">
        <v>50</v>
      </c>
      <c r="U23" s="50">
        <v>14.14</v>
      </c>
      <c r="V23" s="50">
        <v>54.6</v>
      </c>
      <c r="W23" s="50">
        <v>27</v>
      </c>
      <c r="X23" s="50">
        <v>402</v>
      </c>
      <c r="Y23" s="50">
        <v>16.5</v>
      </c>
      <c r="Z23" s="50">
        <v>31.6</v>
      </c>
      <c r="AA23" s="50">
        <v>5.0599999999999996</v>
      </c>
      <c r="AB23" s="50"/>
      <c r="AC23" s="50"/>
      <c r="AD23" s="50"/>
      <c r="AE23" s="50"/>
      <c r="AF23" s="50"/>
      <c r="AG23" s="50"/>
      <c r="AH23" s="50"/>
      <c r="AI23" s="50"/>
      <c r="AJ23" s="50"/>
    </row>
    <row r="24" spans="1:36" ht="15" customHeight="1" x14ac:dyDescent="0.25">
      <c r="A24" s="50">
        <v>5</v>
      </c>
      <c r="B24" s="50" t="s">
        <v>923</v>
      </c>
      <c r="C24" s="50" t="s">
        <v>1352</v>
      </c>
      <c r="D24" s="50">
        <v>38</v>
      </c>
      <c r="E24" s="50" t="s">
        <v>1359</v>
      </c>
      <c r="F24" s="50">
        <v>8</v>
      </c>
      <c r="G24" s="50">
        <v>5.2</v>
      </c>
      <c r="H24" s="50">
        <v>38</v>
      </c>
      <c r="I24" s="50">
        <v>3.19</v>
      </c>
      <c r="J24" s="50">
        <v>118</v>
      </c>
      <c r="K24" s="50">
        <v>89</v>
      </c>
      <c r="L24" s="50">
        <v>5.85</v>
      </c>
      <c r="M24" s="50">
        <v>5.54</v>
      </c>
      <c r="N24" s="50">
        <v>44</v>
      </c>
      <c r="O24" s="50">
        <v>12.5</v>
      </c>
      <c r="P24" s="50">
        <v>9.9</v>
      </c>
      <c r="Q24" s="50">
        <v>55.1</v>
      </c>
      <c r="R24" s="50">
        <v>51.3</v>
      </c>
      <c r="S24" s="50">
        <v>21.8</v>
      </c>
      <c r="T24" s="50">
        <v>50</v>
      </c>
      <c r="U24" s="50">
        <v>12.91</v>
      </c>
      <c r="V24" s="50">
        <v>54.6</v>
      </c>
      <c r="W24" s="50">
        <v>30</v>
      </c>
      <c r="X24" s="50">
        <v>407</v>
      </c>
      <c r="Y24" s="50">
        <v>16.12</v>
      </c>
      <c r="Z24" s="50">
        <v>31.2</v>
      </c>
      <c r="AA24" s="50">
        <v>4.78</v>
      </c>
      <c r="AB24" s="50"/>
      <c r="AC24" s="50"/>
      <c r="AD24" s="50"/>
      <c r="AE24" s="50"/>
      <c r="AF24" s="50"/>
      <c r="AG24" s="50"/>
      <c r="AH24" s="50"/>
      <c r="AI24" s="50"/>
      <c r="AJ24" s="50"/>
    </row>
    <row r="25" spans="1:36" ht="15" customHeight="1" x14ac:dyDescent="0.25">
      <c r="A25" s="50">
        <v>5</v>
      </c>
      <c r="B25" s="50" t="s">
        <v>923</v>
      </c>
      <c r="C25" s="50" t="s">
        <v>1352</v>
      </c>
      <c r="D25" s="50">
        <v>38</v>
      </c>
      <c r="E25" s="50" t="s">
        <v>1359</v>
      </c>
      <c r="F25" s="50">
        <v>12</v>
      </c>
      <c r="G25" s="50">
        <v>4.9000000000000004</v>
      </c>
      <c r="H25" s="50">
        <v>36</v>
      </c>
      <c r="I25" s="50">
        <v>2.97</v>
      </c>
      <c r="J25" s="50">
        <v>121</v>
      </c>
      <c r="K25" s="50">
        <v>83</v>
      </c>
      <c r="L25" s="50">
        <v>5.56</v>
      </c>
      <c r="M25" s="50">
        <v>5.3</v>
      </c>
      <c r="N25" s="50">
        <v>42</v>
      </c>
      <c r="O25" s="50">
        <v>11.9</v>
      </c>
      <c r="P25" s="50">
        <v>11.3</v>
      </c>
      <c r="Q25" s="50">
        <v>54.7</v>
      </c>
      <c r="R25" s="50">
        <v>51.7</v>
      </c>
      <c r="S25" s="50">
        <v>22.1</v>
      </c>
      <c r="T25" s="50">
        <v>51</v>
      </c>
      <c r="U25" s="50">
        <v>12.49</v>
      </c>
      <c r="V25" s="50">
        <v>55.8</v>
      </c>
      <c r="W25" s="50">
        <v>31</v>
      </c>
      <c r="X25" s="50">
        <v>417</v>
      </c>
      <c r="Y25" s="50">
        <v>15.65</v>
      </c>
      <c r="Z25" s="50">
        <v>33.700000000000003</v>
      </c>
      <c r="AA25" s="50">
        <v>5.14</v>
      </c>
      <c r="AB25" s="50"/>
      <c r="AC25" s="50"/>
      <c r="AD25" s="50"/>
      <c r="AE25" s="50"/>
      <c r="AF25" s="50"/>
      <c r="AG25" s="50"/>
      <c r="AH25" s="50"/>
      <c r="AI25" s="50"/>
      <c r="AJ25" s="50"/>
    </row>
    <row r="26" spans="1:36" ht="15" customHeight="1" x14ac:dyDescent="0.25">
      <c r="A26" s="50">
        <v>5</v>
      </c>
      <c r="B26" s="50" t="s">
        <v>923</v>
      </c>
      <c r="C26" s="50" t="s">
        <v>1352</v>
      </c>
      <c r="D26" s="50">
        <v>38</v>
      </c>
      <c r="E26" s="50" t="s">
        <v>1359</v>
      </c>
      <c r="F26" s="50">
        <v>21</v>
      </c>
      <c r="G26" s="50">
        <v>3.7</v>
      </c>
      <c r="H26" s="50">
        <v>32</v>
      </c>
      <c r="I26" s="50">
        <v>2.58</v>
      </c>
      <c r="J26" s="50">
        <v>125</v>
      </c>
      <c r="K26" s="50">
        <v>71</v>
      </c>
      <c r="L26" s="50">
        <v>4.71</v>
      </c>
      <c r="M26" s="50">
        <v>4.16</v>
      </c>
      <c r="N26" s="50">
        <v>37</v>
      </c>
      <c r="O26" s="50">
        <v>11.2</v>
      </c>
      <c r="P26" s="50">
        <v>10.4</v>
      </c>
      <c r="Q26" s="50">
        <v>40.9</v>
      </c>
      <c r="R26" s="50">
        <v>56.2</v>
      </c>
      <c r="S26" s="50">
        <v>28.5</v>
      </c>
      <c r="T26" s="50">
        <v>61</v>
      </c>
      <c r="U26" s="50">
        <v>11.44</v>
      </c>
      <c r="V26" s="50">
        <v>58.8</v>
      </c>
      <c r="W26" s="50">
        <v>47</v>
      </c>
      <c r="X26" s="50">
        <v>457</v>
      </c>
      <c r="Y26" s="50">
        <v>13.2</v>
      </c>
      <c r="Z26" s="50">
        <v>36.799999999999997</v>
      </c>
      <c r="AA26" s="50">
        <v>5.65</v>
      </c>
      <c r="AB26" s="50"/>
      <c r="AC26" s="50"/>
      <c r="AD26" s="50"/>
      <c r="AE26" s="50"/>
      <c r="AF26" s="50"/>
      <c r="AG26" s="50"/>
      <c r="AH26" s="50"/>
      <c r="AI26" s="50"/>
      <c r="AJ26" s="50"/>
    </row>
    <row r="27" spans="1:36" ht="15" customHeight="1" x14ac:dyDescent="0.25">
      <c r="A27" s="50">
        <v>6</v>
      </c>
      <c r="B27" s="50" t="s">
        <v>923</v>
      </c>
      <c r="C27" s="50" t="s">
        <v>1357</v>
      </c>
      <c r="D27" s="50">
        <v>32</v>
      </c>
      <c r="E27" s="50" t="s">
        <v>1353</v>
      </c>
      <c r="F27" s="50">
        <v>0</v>
      </c>
      <c r="G27" s="50">
        <v>7.3</v>
      </c>
      <c r="H27" s="50">
        <v>36</v>
      </c>
      <c r="I27" s="50">
        <v>3.75</v>
      </c>
      <c r="J27" s="50">
        <v>85</v>
      </c>
      <c r="K27" s="50">
        <v>100</v>
      </c>
      <c r="L27" s="50">
        <v>6.6</v>
      </c>
      <c r="M27" s="50">
        <v>6.15</v>
      </c>
      <c r="N27" s="50">
        <v>53</v>
      </c>
      <c r="O27" s="50">
        <v>15.1</v>
      </c>
      <c r="P27" s="50">
        <v>11.6</v>
      </c>
      <c r="Q27" s="50">
        <v>52.4</v>
      </c>
      <c r="R27" s="50">
        <v>31.3</v>
      </c>
      <c r="S27" s="50">
        <v>14.6</v>
      </c>
      <c r="T27" s="50">
        <v>41</v>
      </c>
      <c r="U27" s="50">
        <v>10.33</v>
      </c>
      <c r="V27" s="50">
        <v>59.4</v>
      </c>
      <c r="W27" s="50">
        <v>33</v>
      </c>
      <c r="X27" s="50">
        <v>448</v>
      </c>
      <c r="Y27" s="50">
        <v>15.52</v>
      </c>
      <c r="Z27" s="50">
        <v>32.9</v>
      </c>
      <c r="AA27" s="50">
        <v>6.29</v>
      </c>
      <c r="AB27" s="50"/>
      <c r="AC27" s="50"/>
      <c r="AD27" s="50"/>
      <c r="AE27" s="50"/>
      <c r="AF27" s="50"/>
      <c r="AG27" s="50"/>
      <c r="AH27" s="50"/>
      <c r="AI27" s="50"/>
      <c r="AJ27" s="50"/>
    </row>
    <row r="28" spans="1:36" ht="15" customHeight="1" x14ac:dyDescent="0.25">
      <c r="A28" s="50">
        <v>6</v>
      </c>
      <c r="B28" s="50" t="s">
        <v>923</v>
      </c>
      <c r="C28" s="50" t="s">
        <v>1357</v>
      </c>
      <c r="D28" s="50">
        <v>32</v>
      </c>
      <c r="E28" s="50" t="s">
        <v>1353</v>
      </c>
      <c r="F28" s="50">
        <v>4</v>
      </c>
      <c r="G28" s="50">
        <v>6.7</v>
      </c>
      <c r="H28" s="50">
        <v>34</v>
      </c>
      <c r="I28" s="50">
        <v>3.64</v>
      </c>
      <c r="J28" s="50">
        <v>91</v>
      </c>
      <c r="K28" s="50">
        <v>94</v>
      </c>
      <c r="L28" s="50">
        <v>6.35</v>
      </c>
      <c r="M28" s="50">
        <v>5.78</v>
      </c>
      <c r="N28" s="50">
        <v>53</v>
      </c>
      <c r="O28" s="50">
        <v>14.3</v>
      </c>
      <c r="P28" s="50">
        <v>10.9</v>
      </c>
      <c r="Q28" s="50">
        <v>47.9</v>
      </c>
      <c r="R28" s="50">
        <v>35.5</v>
      </c>
      <c r="S28" s="50">
        <v>19.2</v>
      </c>
      <c r="T28" s="50">
        <v>45</v>
      </c>
      <c r="U28" s="50">
        <v>9.75</v>
      </c>
      <c r="V28" s="50">
        <v>60.4</v>
      </c>
      <c r="W28" s="50">
        <v>37</v>
      </c>
      <c r="X28" s="50">
        <v>444</v>
      </c>
      <c r="Y28" s="50">
        <v>14.52</v>
      </c>
      <c r="Z28" s="50">
        <v>34</v>
      </c>
      <c r="AA28" s="50">
        <v>6.05</v>
      </c>
      <c r="AB28" s="50"/>
      <c r="AC28" s="50"/>
      <c r="AD28" s="50"/>
      <c r="AE28" s="50"/>
      <c r="AF28" s="50"/>
      <c r="AG28" s="50"/>
      <c r="AH28" s="50"/>
      <c r="AI28" s="50"/>
      <c r="AJ28" s="50"/>
    </row>
    <row r="29" spans="1:36" ht="15" customHeight="1" x14ac:dyDescent="0.25">
      <c r="A29" s="50">
        <v>6</v>
      </c>
      <c r="B29" s="50" t="s">
        <v>923</v>
      </c>
      <c r="C29" s="50" t="s">
        <v>1357</v>
      </c>
      <c r="D29" s="50">
        <v>32</v>
      </c>
      <c r="E29" s="50" t="s">
        <v>1353</v>
      </c>
      <c r="F29" s="50">
        <v>8</v>
      </c>
      <c r="G29" s="50">
        <v>6.4</v>
      </c>
      <c r="H29" s="50">
        <v>34</v>
      </c>
      <c r="I29" s="50">
        <v>3.38</v>
      </c>
      <c r="J29" s="50">
        <v>92</v>
      </c>
      <c r="K29" s="50">
        <v>89</v>
      </c>
      <c r="L29" s="50">
        <v>5.83</v>
      </c>
      <c r="M29" s="50">
        <v>5.57</v>
      </c>
      <c r="N29" s="50">
        <v>48</v>
      </c>
      <c r="O29" s="50">
        <v>14</v>
      </c>
      <c r="P29" s="50">
        <v>10.7</v>
      </c>
      <c r="Q29" s="50">
        <v>45.9</v>
      </c>
      <c r="R29" s="50">
        <v>36.4</v>
      </c>
      <c r="S29" s="50">
        <v>18.899999999999999</v>
      </c>
      <c r="T29" s="50">
        <v>44</v>
      </c>
      <c r="U29" s="50">
        <v>9.8000000000000007</v>
      </c>
      <c r="V29" s="50">
        <v>60.4</v>
      </c>
      <c r="W29" s="50">
        <v>39</v>
      </c>
      <c r="X29" s="50">
        <v>439</v>
      </c>
      <c r="Y29" s="50">
        <v>14.58</v>
      </c>
      <c r="Z29" s="50">
        <v>33.9</v>
      </c>
      <c r="AA29" s="50">
        <v>6.19</v>
      </c>
      <c r="AB29" s="50"/>
      <c r="AC29" s="50"/>
      <c r="AD29" s="50"/>
      <c r="AE29" s="50"/>
      <c r="AF29" s="50"/>
      <c r="AG29" s="50"/>
      <c r="AH29" s="50"/>
      <c r="AI29" s="50"/>
      <c r="AJ29" s="50"/>
    </row>
    <row r="30" spans="1:36" ht="15" customHeight="1" x14ac:dyDescent="0.25">
      <c r="A30" s="50">
        <v>6</v>
      </c>
      <c r="B30" s="50" t="s">
        <v>923</v>
      </c>
      <c r="C30" s="50" t="s">
        <v>1357</v>
      </c>
      <c r="D30" s="50">
        <v>32</v>
      </c>
      <c r="E30" s="50" t="s">
        <v>1353</v>
      </c>
      <c r="F30" s="50">
        <v>12</v>
      </c>
      <c r="G30" s="50">
        <v>5.5</v>
      </c>
      <c r="H30" s="50">
        <v>31</v>
      </c>
      <c r="I30" s="50">
        <v>3.27</v>
      </c>
      <c r="J30" s="50">
        <v>93</v>
      </c>
      <c r="K30" s="50">
        <v>83</v>
      </c>
      <c r="L30" s="50">
        <v>5.28</v>
      </c>
      <c r="M30" s="50">
        <v>5.12</v>
      </c>
      <c r="N30" s="50">
        <v>45</v>
      </c>
      <c r="O30" s="50">
        <v>12.6</v>
      </c>
      <c r="P30" s="50">
        <v>9.6999999999999993</v>
      </c>
      <c r="Q30" s="50">
        <v>42</v>
      </c>
      <c r="R30" s="50">
        <v>44</v>
      </c>
      <c r="S30" s="50">
        <v>23.7</v>
      </c>
      <c r="T30" s="50">
        <v>44</v>
      </c>
      <c r="U30" s="50">
        <v>7.17</v>
      </c>
      <c r="V30" s="50">
        <v>61.8</v>
      </c>
      <c r="W30" s="50">
        <v>47</v>
      </c>
      <c r="X30" s="50">
        <v>453</v>
      </c>
      <c r="Y30" s="50">
        <v>13.55</v>
      </c>
      <c r="Z30" s="50">
        <v>35.6</v>
      </c>
      <c r="AA30" s="50">
        <v>6.15</v>
      </c>
      <c r="AB30" s="50"/>
      <c r="AC30" s="50"/>
      <c r="AD30" s="50"/>
      <c r="AE30" s="50"/>
      <c r="AF30" s="50"/>
      <c r="AG30" s="50"/>
      <c r="AH30" s="50"/>
      <c r="AI30" s="50"/>
      <c r="AJ30" s="50"/>
    </row>
    <row r="31" spans="1:36" ht="15" customHeight="1" x14ac:dyDescent="0.25">
      <c r="A31" s="50">
        <v>6</v>
      </c>
      <c r="B31" s="50" t="s">
        <v>923</v>
      </c>
      <c r="C31" s="50" t="s">
        <v>1357</v>
      </c>
      <c r="D31" s="50">
        <v>32</v>
      </c>
      <c r="E31" s="50" t="s">
        <v>1353</v>
      </c>
      <c r="F31" s="50">
        <v>21</v>
      </c>
      <c r="G31" s="50">
        <v>4.7</v>
      </c>
      <c r="H31" s="50">
        <v>26</v>
      </c>
      <c r="I31" s="50">
        <v>2.8</v>
      </c>
      <c r="J31" s="50">
        <v>103</v>
      </c>
      <c r="K31" s="50">
        <v>71</v>
      </c>
      <c r="L31" s="50">
        <v>4.5599999999999996</v>
      </c>
      <c r="M31" s="50">
        <v>4.5599999999999996</v>
      </c>
      <c r="N31" s="50">
        <v>40</v>
      </c>
      <c r="O31" s="50">
        <v>11.1</v>
      </c>
      <c r="P31" s="50">
        <v>9.1999999999999993</v>
      </c>
      <c r="Q31" s="50">
        <v>39.4</v>
      </c>
      <c r="R31" s="50">
        <v>49.2</v>
      </c>
      <c r="S31" s="50">
        <v>26.4</v>
      </c>
      <c r="T31" s="50">
        <v>49</v>
      </c>
      <c r="U31" s="50">
        <v>8.24</v>
      </c>
      <c r="V31" s="50">
        <v>64</v>
      </c>
      <c r="W31" s="50">
        <v>50</v>
      </c>
      <c r="X31" s="50">
        <v>450</v>
      </c>
      <c r="Y31" s="50">
        <v>12.91</v>
      </c>
      <c r="Z31" s="50">
        <v>37.299999999999997</v>
      </c>
      <c r="AA31" s="50">
        <v>6.17</v>
      </c>
      <c r="AB31" s="50"/>
      <c r="AC31" s="50"/>
      <c r="AD31" s="50"/>
      <c r="AE31" s="50"/>
      <c r="AF31" s="50"/>
      <c r="AG31" s="50"/>
      <c r="AH31" s="50"/>
      <c r="AI31" s="50"/>
      <c r="AJ31" s="50"/>
    </row>
    <row r="32" spans="1:36" ht="15" customHeight="1" x14ac:dyDescent="0.25">
      <c r="A32" s="50">
        <v>7</v>
      </c>
      <c r="B32" s="50" t="s">
        <v>923</v>
      </c>
      <c r="C32" s="50" t="s">
        <v>1352</v>
      </c>
      <c r="D32" s="50">
        <v>41</v>
      </c>
      <c r="E32" s="50" t="s">
        <v>1359</v>
      </c>
      <c r="F32" s="50">
        <v>0</v>
      </c>
      <c r="G32" s="50">
        <v>6.4</v>
      </c>
      <c r="H32" s="50">
        <v>38</v>
      </c>
      <c r="I32" s="50">
        <v>2.93</v>
      </c>
      <c r="J32" s="50">
        <v>62</v>
      </c>
      <c r="K32" s="50">
        <v>100</v>
      </c>
      <c r="L32" s="50">
        <v>6.56</v>
      </c>
      <c r="M32" s="50">
        <v>5.69</v>
      </c>
      <c r="N32" s="50">
        <v>33</v>
      </c>
      <c r="O32" s="50">
        <v>11.3</v>
      </c>
      <c r="P32" s="50">
        <v>14.1</v>
      </c>
      <c r="Q32" s="50">
        <v>55</v>
      </c>
      <c r="R32" s="50">
        <v>38.299999999999997</v>
      </c>
      <c r="S32" s="50">
        <v>21.8</v>
      </c>
      <c r="T32" s="50">
        <v>33</v>
      </c>
      <c r="U32" s="50">
        <v>10.64</v>
      </c>
      <c r="V32" s="50">
        <v>59.9</v>
      </c>
      <c r="W32" s="50">
        <v>51</v>
      </c>
      <c r="X32" s="50">
        <v>338</v>
      </c>
      <c r="Y32" s="50">
        <v>14.06</v>
      </c>
      <c r="Z32" s="50">
        <v>24.8</v>
      </c>
      <c r="AA32" s="50">
        <v>5.08</v>
      </c>
      <c r="AB32" s="50"/>
      <c r="AC32" s="50"/>
      <c r="AD32" s="50"/>
      <c r="AE32" s="50"/>
      <c r="AF32" s="50"/>
      <c r="AG32" s="50"/>
      <c r="AH32" s="50"/>
      <c r="AI32" s="50"/>
      <c r="AJ32" s="50"/>
    </row>
    <row r="33" spans="1:36" ht="15" customHeight="1" x14ac:dyDescent="0.25">
      <c r="A33" s="50">
        <v>7</v>
      </c>
      <c r="B33" s="50" t="s">
        <v>923</v>
      </c>
      <c r="C33" s="50" t="s">
        <v>1352</v>
      </c>
      <c r="D33" s="50">
        <v>41</v>
      </c>
      <c r="E33" s="50" t="s">
        <v>1359</v>
      </c>
      <c r="F33" s="50">
        <v>4</v>
      </c>
      <c r="G33" s="50">
        <v>5.9</v>
      </c>
      <c r="H33" s="50">
        <v>37</v>
      </c>
      <c r="I33" s="50">
        <v>2.85</v>
      </c>
      <c r="J33" s="50">
        <v>67</v>
      </c>
      <c r="K33" s="50">
        <v>94</v>
      </c>
      <c r="L33" s="50">
        <v>6.18</v>
      </c>
      <c r="M33" s="50">
        <v>5.44</v>
      </c>
      <c r="N33" s="50">
        <v>34</v>
      </c>
      <c r="O33" s="50">
        <v>11.4</v>
      </c>
      <c r="P33" s="50">
        <v>13.6</v>
      </c>
      <c r="Q33" s="50">
        <v>50.9</v>
      </c>
      <c r="R33" s="50">
        <v>40.799999999999997</v>
      </c>
      <c r="S33" s="50">
        <v>24.7</v>
      </c>
      <c r="T33" s="50">
        <v>36</v>
      </c>
      <c r="U33" s="50">
        <v>9.7899999999999991</v>
      </c>
      <c r="V33" s="50">
        <v>60.5</v>
      </c>
      <c r="W33" s="50">
        <v>54</v>
      </c>
      <c r="X33" s="50">
        <v>360</v>
      </c>
      <c r="Y33" s="50">
        <v>13.94</v>
      </c>
      <c r="Z33" s="50">
        <v>26.6</v>
      </c>
      <c r="AA33" s="50">
        <v>5.45</v>
      </c>
      <c r="AB33" s="50"/>
      <c r="AC33" s="50"/>
      <c r="AD33" s="50"/>
      <c r="AE33" s="50"/>
      <c r="AF33" s="50"/>
      <c r="AG33" s="50"/>
      <c r="AH33" s="50"/>
      <c r="AI33" s="50"/>
      <c r="AJ33" s="50"/>
    </row>
    <row r="34" spans="1:36" ht="15" customHeight="1" x14ac:dyDescent="0.25">
      <c r="A34" s="50">
        <v>7</v>
      </c>
      <c r="B34" s="50" t="s">
        <v>923</v>
      </c>
      <c r="C34" s="50" t="s">
        <v>1352</v>
      </c>
      <c r="D34" s="50">
        <v>41</v>
      </c>
      <c r="E34" s="50" t="s">
        <v>1359</v>
      </c>
      <c r="F34" s="50">
        <v>8</v>
      </c>
      <c r="G34" s="50">
        <v>5.3</v>
      </c>
      <c r="H34" s="50">
        <v>36</v>
      </c>
      <c r="I34" s="50">
        <v>2.67</v>
      </c>
      <c r="J34" s="50">
        <v>69</v>
      </c>
      <c r="K34" s="50">
        <v>89</v>
      </c>
      <c r="L34" s="50">
        <v>5.48</v>
      </c>
      <c r="M34" s="50">
        <v>5.01</v>
      </c>
      <c r="N34" s="50">
        <v>31</v>
      </c>
      <c r="O34" s="50">
        <v>9.6999999999999993</v>
      </c>
      <c r="P34" s="50">
        <v>12.2</v>
      </c>
      <c r="Q34" s="50">
        <v>49.3</v>
      </c>
      <c r="R34" s="50">
        <v>44.1</v>
      </c>
      <c r="S34" s="50">
        <v>28.8</v>
      </c>
      <c r="T34" s="50">
        <v>38</v>
      </c>
      <c r="U34" s="50">
        <v>8.86</v>
      </c>
      <c r="V34" s="50">
        <v>62.1</v>
      </c>
      <c r="W34" s="50">
        <v>56</v>
      </c>
      <c r="X34" s="50">
        <v>373</v>
      </c>
      <c r="Y34" s="50">
        <v>13.32</v>
      </c>
      <c r="Z34" s="50">
        <v>27.8</v>
      </c>
      <c r="AA34" s="50">
        <v>5.89</v>
      </c>
      <c r="AB34" s="50"/>
      <c r="AC34" s="50"/>
      <c r="AD34" s="50"/>
      <c r="AE34" s="50"/>
      <c r="AF34" s="50"/>
      <c r="AG34" s="50"/>
      <c r="AH34" s="50"/>
      <c r="AI34" s="50"/>
      <c r="AJ34" s="50"/>
    </row>
    <row r="35" spans="1:36" ht="15" customHeight="1" x14ac:dyDescent="0.25">
      <c r="A35" s="50">
        <v>7</v>
      </c>
      <c r="B35" s="50" t="s">
        <v>923</v>
      </c>
      <c r="C35" s="50" t="s">
        <v>1352</v>
      </c>
      <c r="D35" s="50">
        <v>41</v>
      </c>
      <c r="E35" s="50" t="s">
        <v>1359</v>
      </c>
      <c r="F35" s="50">
        <v>12</v>
      </c>
      <c r="G35" s="50">
        <v>4.9000000000000004</v>
      </c>
      <c r="H35" s="50">
        <v>32</v>
      </c>
      <c r="I35" s="50">
        <v>2.5299999999999998</v>
      </c>
      <c r="J35" s="50">
        <v>71</v>
      </c>
      <c r="K35" s="50">
        <v>83</v>
      </c>
      <c r="L35" s="50">
        <v>5.29</v>
      </c>
      <c r="M35" s="50">
        <v>4.63</v>
      </c>
      <c r="N35" s="50">
        <v>28</v>
      </c>
      <c r="O35" s="50">
        <v>9.8000000000000007</v>
      </c>
      <c r="P35" s="50">
        <v>13.2</v>
      </c>
      <c r="Q35" s="50">
        <v>43.5</v>
      </c>
      <c r="R35" s="50">
        <v>47.3</v>
      </c>
      <c r="S35" s="50">
        <v>27.1</v>
      </c>
      <c r="T35" s="50">
        <v>41</v>
      </c>
      <c r="U35" s="50">
        <v>8.4499999999999993</v>
      </c>
      <c r="V35" s="50">
        <v>62.3</v>
      </c>
      <c r="W35" s="50">
        <v>62</v>
      </c>
      <c r="X35" s="50">
        <v>396</v>
      </c>
      <c r="Y35" s="50">
        <v>13.02</v>
      </c>
      <c r="Z35" s="50">
        <v>30.3</v>
      </c>
      <c r="AA35" s="50">
        <v>5.9</v>
      </c>
      <c r="AB35" s="50"/>
      <c r="AC35" s="50"/>
      <c r="AD35" s="50"/>
      <c r="AE35" s="50"/>
      <c r="AF35" s="50"/>
      <c r="AG35" s="50"/>
      <c r="AH35" s="50"/>
      <c r="AI35" s="50"/>
      <c r="AJ35" s="50"/>
    </row>
    <row r="36" spans="1:36" ht="15" customHeight="1" x14ac:dyDescent="0.25">
      <c r="A36" s="50">
        <v>7</v>
      </c>
      <c r="B36" s="50" t="s">
        <v>923</v>
      </c>
      <c r="C36" s="50" t="s">
        <v>1352</v>
      </c>
      <c r="D36" s="50">
        <v>41</v>
      </c>
      <c r="E36" s="50" t="s">
        <v>1359</v>
      </c>
      <c r="F36" s="50">
        <v>21</v>
      </c>
      <c r="G36" s="50">
        <v>4.3</v>
      </c>
      <c r="H36" s="50">
        <v>28</v>
      </c>
      <c r="I36" s="50">
        <v>2.12</v>
      </c>
      <c r="J36" s="50">
        <v>79</v>
      </c>
      <c r="K36" s="50">
        <v>71</v>
      </c>
      <c r="L36" s="50">
        <v>4.62</v>
      </c>
      <c r="M36" s="50">
        <v>4.26</v>
      </c>
      <c r="N36" s="50">
        <v>27</v>
      </c>
      <c r="O36" s="50">
        <v>9.5</v>
      </c>
      <c r="P36" s="50">
        <v>11.3</v>
      </c>
      <c r="Q36" s="50">
        <v>42.8</v>
      </c>
      <c r="R36" s="50">
        <v>48.5</v>
      </c>
      <c r="S36" s="50">
        <v>29.4</v>
      </c>
      <c r="T36" s="50">
        <v>46</v>
      </c>
      <c r="U36" s="50">
        <v>8.9499999999999993</v>
      </c>
      <c r="V36" s="50">
        <v>63.8</v>
      </c>
      <c r="W36" s="50">
        <v>62</v>
      </c>
      <c r="X36" s="50">
        <v>413</v>
      </c>
      <c r="Y36" s="50">
        <v>12.96</v>
      </c>
      <c r="Z36" s="50">
        <v>32.4</v>
      </c>
      <c r="AA36" s="50">
        <v>6.13</v>
      </c>
      <c r="AB36" s="50"/>
      <c r="AC36" s="50"/>
      <c r="AD36" s="50"/>
      <c r="AE36" s="50"/>
      <c r="AF36" s="50"/>
      <c r="AG36" s="50"/>
      <c r="AH36" s="50"/>
      <c r="AI36" s="50"/>
      <c r="AJ36" s="50"/>
    </row>
    <row r="37" spans="1:36" ht="15" customHeight="1" x14ac:dyDescent="0.25">
      <c r="A37" s="50">
        <v>8</v>
      </c>
      <c r="B37" s="50" t="s">
        <v>923</v>
      </c>
      <c r="C37" s="50" t="s">
        <v>1352</v>
      </c>
      <c r="D37" s="50">
        <v>42</v>
      </c>
      <c r="E37" s="50" t="s">
        <v>1360</v>
      </c>
      <c r="F37" s="50">
        <v>0</v>
      </c>
      <c r="G37" s="50">
        <v>6.5</v>
      </c>
      <c r="H37" s="50">
        <v>50</v>
      </c>
      <c r="I37" s="50">
        <v>3.35</v>
      </c>
      <c r="J37" s="50">
        <v>104</v>
      </c>
      <c r="K37" s="50">
        <v>100</v>
      </c>
      <c r="L37" s="50">
        <v>7.58</v>
      </c>
      <c r="M37" s="50">
        <v>6.59</v>
      </c>
      <c r="N37" s="50">
        <v>40</v>
      </c>
      <c r="O37" s="50">
        <v>11.3</v>
      </c>
      <c r="P37" s="50">
        <v>11.2</v>
      </c>
      <c r="Q37" s="50">
        <v>38.1</v>
      </c>
      <c r="R37" s="50">
        <v>43.3</v>
      </c>
      <c r="S37" s="50">
        <v>13.4</v>
      </c>
      <c r="T37" s="50">
        <v>35</v>
      </c>
      <c r="U37" s="50">
        <v>3.51</v>
      </c>
      <c r="V37" s="50">
        <v>57</v>
      </c>
      <c r="W37" s="50">
        <v>22</v>
      </c>
      <c r="X37" s="50">
        <v>398</v>
      </c>
      <c r="Y37" s="50">
        <v>19.809999999999999</v>
      </c>
      <c r="Z37" s="50">
        <v>28.4</v>
      </c>
      <c r="AA37" s="50">
        <v>3.98</v>
      </c>
      <c r="AB37" s="50"/>
      <c r="AC37" s="50"/>
      <c r="AD37" s="50"/>
      <c r="AE37" s="50"/>
      <c r="AF37" s="50"/>
      <c r="AG37" s="50"/>
      <c r="AH37" s="50"/>
      <c r="AI37" s="50"/>
      <c r="AJ37" s="50"/>
    </row>
    <row r="38" spans="1:36" ht="15" customHeight="1" x14ac:dyDescent="0.25">
      <c r="A38" s="50">
        <v>8</v>
      </c>
      <c r="B38" s="50" t="s">
        <v>923</v>
      </c>
      <c r="C38" s="50" t="s">
        <v>1352</v>
      </c>
      <c r="D38" s="50">
        <v>42</v>
      </c>
      <c r="E38" s="50" t="s">
        <v>1360</v>
      </c>
      <c r="F38" s="50">
        <v>4</v>
      </c>
      <c r="G38" s="50">
        <v>5.9</v>
      </c>
      <c r="H38" s="50">
        <v>49</v>
      </c>
      <c r="I38" s="50">
        <v>3.23</v>
      </c>
      <c r="J38" s="50">
        <v>107</v>
      </c>
      <c r="K38" s="50">
        <v>94</v>
      </c>
      <c r="L38" s="50">
        <v>7.01</v>
      </c>
      <c r="M38" s="50">
        <v>5.9</v>
      </c>
      <c r="N38" s="50">
        <v>41</v>
      </c>
      <c r="O38" s="50">
        <v>10.1</v>
      </c>
      <c r="P38" s="50">
        <v>12</v>
      </c>
      <c r="Q38" s="50">
        <v>33.4</v>
      </c>
      <c r="R38" s="50">
        <v>44.5</v>
      </c>
      <c r="S38" s="50">
        <v>16.100000000000001</v>
      </c>
      <c r="T38" s="50">
        <v>40</v>
      </c>
      <c r="U38" s="50">
        <v>2.75</v>
      </c>
      <c r="V38" s="50">
        <v>60.6</v>
      </c>
      <c r="W38" s="50">
        <v>26</v>
      </c>
      <c r="X38" s="50">
        <v>409</v>
      </c>
      <c r="Y38" s="50">
        <v>19.059999999999999</v>
      </c>
      <c r="Z38" s="50">
        <v>30.8</v>
      </c>
      <c r="AA38" s="50">
        <v>4.2699999999999996</v>
      </c>
      <c r="AB38" s="50"/>
      <c r="AC38" s="50"/>
      <c r="AD38" s="50"/>
      <c r="AE38" s="50"/>
      <c r="AF38" s="50"/>
      <c r="AG38" s="50"/>
      <c r="AH38" s="50"/>
      <c r="AI38" s="50"/>
      <c r="AJ38" s="50"/>
    </row>
    <row r="39" spans="1:36" ht="15" customHeight="1" x14ac:dyDescent="0.25">
      <c r="A39" s="50">
        <v>8</v>
      </c>
      <c r="B39" s="50" t="s">
        <v>923</v>
      </c>
      <c r="C39" s="50" t="s">
        <v>1352</v>
      </c>
      <c r="D39" s="50">
        <v>42</v>
      </c>
      <c r="E39" s="50" t="s">
        <v>1360</v>
      </c>
      <c r="F39" s="50">
        <v>8</v>
      </c>
      <c r="G39" s="50">
        <v>5.5</v>
      </c>
      <c r="H39" s="50">
        <v>46</v>
      </c>
      <c r="I39" s="50">
        <v>3.01</v>
      </c>
      <c r="J39" s="50">
        <v>113</v>
      </c>
      <c r="K39" s="50">
        <v>89</v>
      </c>
      <c r="L39" s="50">
        <v>6.57</v>
      </c>
      <c r="M39" s="50">
        <v>5.89</v>
      </c>
      <c r="N39" s="50">
        <v>34</v>
      </c>
      <c r="O39" s="50">
        <v>11</v>
      </c>
      <c r="P39" s="50">
        <v>9.9</v>
      </c>
      <c r="Q39" s="50">
        <v>32.200000000000003</v>
      </c>
      <c r="R39" s="50">
        <v>45.9</v>
      </c>
      <c r="S39" s="50">
        <v>18.399999999999999</v>
      </c>
      <c r="T39" s="50">
        <v>41</v>
      </c>
      <c r="U39" s="50">
        <v>3.59</v>
      </c>
      <c r="V39" s="50">
        <v>59.7</v>
      </c>
      <c r="W39" s="50">
        <v>30</v>
      </c>
      <c r="X39" s="50">
        <v>412</v>
      </c>
      <c r="Y39" s="50">
        <v>17.41</v>
      </c>
      <c r="Z39" s="50">
        <v>31.6</v>
      </c>
      <c r="AA39" s="50">
        <v>4.28</v>
      </c>
      <c r="AB39" s="50"/>
      <c r="AC39" s="50"/>
      <c r="AD39" s="50"/>
      <c r="AE39" s="50"/>
      <c r="AF39" s="50"/>
      <c r="AG39" s="50"/>
      <c r="AH39" s="50"/>
      <c r="AI39" s="50"/>
      <c r="AJ39" s="50"/>
    </row>
    <row r="40" spans="1:36" ht="15" customHeight="1" x14ac:dyDescent="0.25">
      <c r="A40" s="50">
        <v>8</v>
      </c>
      <c r="B40" s="50" t="s">
        <v>923</v>
      </c>
      <c r="C40" s="50" t="s">
        <v>1352</v>
      </c>
      <c r="D40" s="50">
        <v>42</v>
      </c>
      <c r="E40" s="50" t="s">
        <v>1360</v>
      </c>
      <c r="F40" s="50">
        <v>12</v>
      </c>
      <c r="G40" s="50">
        <v>5.0999999999999996</v>
      </c>
      <c r="H40" s="50">
        <v>43</v>
      </c>
      <c r="I40" s="50">
        <v>2.9</v>
      </c>
      <c r="J40" s="50">
        <v>116</v>
      </c>
      <c r="K40" s="50">
        <v>83</v>
      </c>
      <c r="L40" s="50">
        <v>6.3</v>
      </c>
      <c r="M40" s="50">
        <v>5.57</v>
      </c>
      <c r="N40" s="50">
        <v>37</v>
      </c>
      <c r="O40" s="50">
        <v>10.4</v>
      </c>
      <c r="P40" s="50">
        <v>10.3</v>
      </c>
      <c r="Q40" s="50">
        <v>31.9</v>
      </c>
      <c r="R40" s="50">
        <v>46.7</v>
      </c>
      <c r="S40" s="50">
        <v>19.8</v>
      </c>
      <c r="T40" s="50">
        <v>44</v>
      </c>
      <c r="U40" s="50">
        <v>3.13</v>
      </c>
      <c r="V40" s="50">
        <v>61.3</v>
      </c>
      <c r="W40" s="50">
        <v>33</v>
      </c>
      <c r="X40" s="50">
        <v>429</v>
      </c>
      <c r="Y40" s="50">
        <v>16.48</v>
      </c>
      <c r="Z40" s="50">
        <v>33.5</v>
      </c>
      <c r="AA40" s="50">
        <v>4.88</v>
      </c>
      <c r="AB40" s="50"/>
      <c r="AC40" s="50"/>
      <c r="AD40" s="50"/>
      <c r="AE40" s="50"/>
      <c r="AF40" s="50"/>
      <c r="AG40" s="50"/>
      <c r="AH40" s="50"/>
      <c r="AI40" s="50"/>
      <c r="AJ40" s="50"/>
    </row>
    <row r="41" spans="1:36" ht="15" customHeight="1" x14ac:dyDescent="0.25">
      <c r="A41" s="50">
        <v>8</v>
      </c>
      <c r="B41" s="50" t="s">
        <v>923</v>
      </c>
      <c r="C41" s="50" t="s">
        <v>1352</v>
      </c>
      <c r="D41" s="50">
        <v>42</v>
      </c>
      <c r="E41" s="50" t="s">
        <v>1360</v>
      </c>
      <c r="F41" s="50">
        <v>21</v>
      </c>
      <c r="G41" s="50">
        <v>4.3</v>
      </c>
      <c r="H41" s="50">
        <v>40</v>
      </c>
      <c r="I41" s="50">
        <v>2.44</v>
      </c>
      <c r="J41" s="50">
        <v>119</v>
      </c>
      <c r="K41" s="50">
        <v>71</v>
      </c>
      <c r="L41" s="50">
        <v>5.64</v>
      </c>
      <c r="M41" s="50">
        <v>4.5999999999999996</v>
      </c>
      <c r="N41" s="50">
        <v>36</v>
      </c>
      <c r="O41" s="50">
        <v>11</v>
      </c>
      <c r="P41" s="50">
        <v>9.9</v>
      </c>
      <c r="Q41" s="50">
        <v>25.8</v>
      </c>
      <c r="R41" s="50">
        <v>51</v>
      </c>
      <c r="S41" s="50">
        <v>22.6</v>
      </c>
      <c r="T41" s="50">
        <v>49</v>
      </c>
      <c r="U41" s="50">
        <v>3.8</v>
      </c>
      <c r="V41" s="50">
        <v>62.4</v>
      </c>
      <c r="W41" s="50">
        <v>37</v>
      </c>
      <c r="X41" s="50">
        <v>463</v>
      </c>
      <c r="Y41" s="50">
        <v>14.5</v>
      </c>
      <c r="Z41" s="50">
        <v>35.9</v>
      </c>
      <c r="AA41" s="50">
        <v>4.91</v>
      </c>
      <c r="AB41" s="50"/>
      <c r="AC41" s="50"/>
      <c r="AD41" s="50"/>
      <c r="AE41" s="50"/>
      <c r="AF41" s="50"/>
      <c r="AG41" s="50"/>
      <c r="AH41" s="50"/>
      <c r="AI41" s="50"/>
      <c r="AJ41" s="50"/>
    </row>
    <row r="42" spans="1:36" ht="15" customHeight="1" x14ac:dyDescent="0.25">
      <c r="A42" s="50">
        <v>9</v>
      </c>
      <c r="B42" s="50" t="s">
        <v>923</v>
      </c>
      <c r="C42" s="50" t="s">
        <v>1357</v>
      </c>
      <c r="D42" s="50">
        <v>41</v>
      </c>
      <c r="E42" s="50" t="s">
        <v>1359</v>
      </c>
      <c r="F42" s="50">
        <v>0</v>
      </c>
      <c r="G42" s="50">
        <v>6.9</v>
      </c>
      <c r="H42" s="50">
        <v>37</v>
      </c>
      <c r="I42" s="50">
        <v>3.73</v>
      </c>
      <c r="J42" s="50">
        <v>100</v>
      </c>
      <c r="K42" s="50">
        <v>100</v>
      </c>
      <c r="L42" s="50">
        <v>6.06</v>
      </c>
      <c r="M42" s="50">
        <v>5.35</v>
      </c>
      <c r="N42" s="50">
        <v>48</v>
      </c>
      <c r="O42" s="50">
        <v>12.8</v>
      </c>
      <c r="P42" s="50">
        <v>10</v>
      </c>
      <c r="Q42" s="50">
        <v>49.4</v>
      </c>
      <c r="R42" s="50">
        <v>29.8</v>
      </c>
      <c r="S42" s="50">
        <v>28</v>
      </c>
      <c r="T42" s="50">
        <v>48</v>
      </c>
      <c r="U42" s="50">
        <v>13.19</v>
      </c>
      <c r="V42" s="50">
        <v>66.599999999999994</v>
      </c>
      <c r="W42" s="50">
        <v>50</v>
      </c>
      <c r="X42" s="50">
        <v>405</v>
      </c>
      <c r="Y42" s="50">
        <v>15.38</v>
      </c>
      <c r="Z42" s="50">
        <v>27.3</v>
      </c>
      <c r="AA42" s="50">
        <v>4.71</v>
      </c>
      <c r="AB42" s="50"/>
      <c r="AC42" s="50"/>
      <c r="AD42" s="50"/>
      <c r="AE42" s="50"/>
      <c r="AF42" s="50"/>
      <c r="AG42" s="50"/>
      <c r="AH42" s="50"/>
      <c r="AI42" s="50"/>
      <c r="AJ42" s="50"/>
    </row>
    <row r="43" spans="1:36" ht="15" customHeight="1" x14ac:dyDescent="0.25">
      <c r="A43" s="50">
        <v>9</v>
      </c>
      <c r="B43" s="50" t="s">
        <v>923</v>
      </c>
      <c r="C43" s="50" t="s">
        <v>1357</v>
      </c>
      <c r="D43" s="50">
        <v>41</v>
      </c>
      <c r="E43" s="50" t="s">
        <v>1359</v>
      </c>
      <c r="F43" s="50">
        <v>4</v>
      </c>
      <c r="G43" s="50">
        <v>6.4</v>
      </c>
      <c r="H43" s="50">
        <v>34</v>
      </c>
      <c r="I43" s="50">
        <v>3.54</v>
      </c>
      <c r="J43" s="50">
        <v>98</v>
      </c>
      <c r="K43" s="50">
        <v>94</v>
      </c>
      <c r="L43" s="50">
        <v>5.63</v>
      </c>
      <c r="M43" s="50">
        <v>4.5599999999999996</v>
      </c>
      <c r="N43" s="50">
        <v>47</v>
      </c>
      <c r="O43" s="50">
        <v>11.9</v>
      </c>
      <c r="P43" s="50">
        <v>9.1</v>
      </c>
      <c r="Q43" s="50">
        <v>44.9</v>
      </c>
      <c r="R43" s="50">
        <v>30.8</v>
      </c>
      <c r="S43" s="50">
        <v>26.5</v>
      </c>
      <c r="T43" s="50">
        <v>50</v>
      </c>
      <c r="U43" s="50">
        <v>12.82</v>
      </c>
      <c r="V43" s="50">
        <v>67.099999999999994</v>
      </c>
      <c r="W43" s="50">
        <v>54</v>
      </c>
      <c r="X43" s="50">
        <v>421</v>
      </c>
      <c r="Y43" s="50">
        <v>14.88</v>
      </c>
      <c r="Z43" s="50">
        <v>28.9</v>
      </c>
      <c r="AA43" s="50">
        <v>4.75</v>
      </c>
      <c r="AB43" s="50"/>
      <c r="AC43" s="50"/>
      <c r="AD43" s="50"/>
      <c r="AE43" s="50"/>
      <c r="AF43" s="50"/>
      <c r="AG43" s="50"/>
      <c r="AH43" s="50"/>
      <c r="AI43" s="50"/>
      <c r="AJ43" s="50"/>
    </row>
    <row r="44" spans="1:36" ht="15" customHeight="1" x14ac:dyDescent="0.25">
      <c r="A44" s="50">
        <v>9</v>
      </c>
      <c r="B44" s="50" t="s">
        <v>923</v>
      </c>
      <c r="C44" s="50" t="s">
        <v>1357</v>
      </c>
      <c r="D44" s="50">
        <v>41</v>
      </c>
      <c r="E44" s="50" t="s">
        <v>1359</v>
      </c>
      <c r="F44" s="50">
        <v>8</v>
      </c>
      <c r="G44" s="50">
        <v>6.1</v>
      </c>
      <c r="H44" s="50">
        <v>31</v>
      </c>
      <c r="I44" s="50">
        <v>3.4</v>
      </c>
      <c r="J44" s="50">
        <v>100</v>
      </c>
      <c r="K44" s="50">
        <v>89</v>
      </c>
      <c r="L44" s="50">
        <v>5.37</v>
      </c>
      <c r="M44" s="50">
        <v>4.62</v>
      </c>
      <c r="N44" s="50">
        <v>45</v>
      </c>
      <c r="O44" s="50">
        <v>11.1</v>
      </c>
      <c r="P44" s="50">
        <v>9.4</v>
      </c>
      <c r="Q44" s="50">
        <v>42.7</v>
      </c>
      <c r="R44" s="50">
        <v>30.7</v>
      </c>
      <c r="S44" s="50">
        <v>28.5</v>
      </c>
      <c r="T44" s="50">
        <v>53</v>
      </c>
      <c r="U44" s="50">
        <v>12.3</v>
      </c>
      <c r="V44" s="50">
        <v>65.8</v>
      </c>
      <c r="W44" s="50">
        <v>51</v>
      </c>
      <c r="X44" s="50">
        <v>439</v>
      </c>
      <c r="Y44" s="50">
        <v>13.79</v>
      </c>
      <c r="Z44" s="50">
        <v>30.2</v>
      </c>
      <c r="AA44" s="50">
        <v>5.27</v>
      </c>
      <c r="AB44" s="50"/>
      <c r="AC44" s="50"/>
      <c r="AD44" s="50"/>
      <c r="AE44" s="50"/>
      <c r="AF44" s="50"/>
      <c r="AG44" s="50"/>
      <c r="AH44" s="50"/>
      <c r="AI44" s="50"/>
      <c r="AJ44" s="50"/>
    </row>
    <row r="45" spans="1:36" ht="15" customHeight="1" x14ac:dyDescent="0.25">
      <c r="A45" s="50">
        <v>9</v>
      </c>
      <c r="B45" s="50" t="s">
        <v>923</v>
      </c>
      <c r="C45" s="50" t="s">
        <v>1357</v>
      </c>
      <c r="D45" s="50">
        <v>41</v>
      </c>
      <c r="E45" s="50" t="s">
        <v>1359</v>
      </c>
      <c r="F45" s="50">
        <v>12</v>
      </c>
      <c r="G45" s="50">
        <v>5.7</v>
      </c>
      <c r="H45" s="50">
        <v>31</v>
      </c>
      <c r="I45" s="50">
        <v>3.22</v>
      </c>
      <c r="J45" s="50">
        <v>103</v>
      </c>
      <c r="K45" s="50">
        <v>83</v>
      </c>
      <c r="L45" s="50">
        <v>5.07</v>
      </c>
      <c r="M45" s="50">
        <v>4.3499999999999996</v>
      </c>
      <c r="N45" s="50">
        <v>44</v>
      </c>
      <c r="O45" s="50">
        <v>10.5</v>
      </c>
      <c r="P45" s="50">
        <v>9.3000000000000007</v>
      </c>
      <c r="Q45" s="50">
        <v>42.6</v>
      </c>
      <c r="R45" s="50">
        <v>35.200000000000003</v>
      </c>
      <c r="S45" s="50">
        <v>31.4</v>
      </c>
      <c r="T45" s="50">
        <v>57</v>
      </c>
      <c r="U45" s="50">
        <v>11.64</v>
      </c>
      <c r="V45" s="50">
        <v>68.599999999999994</v>
      </c>
      <c r="W45" s="50">
        <v>54</v>
      </c>
      <c r="X45" s="50">
        <v>442</v>
      </c>
      <c r="Y45" s="50">
        <v>14.02</v>
      </c>
      <c r="Z45" s="50">
        <v>31.2</v>
      </c>
      <c r="AA45" s="50">
        <v>5.24</v>
      </c>
      <c r="AB45" s="50"/>
      <c r="AC45" s="50"/>
      <c r="AD45" s="50"/>
      <c r="AE45" s="50"/>
      <c r="AF45" s="50"/>
      <c r="AG45" s="50"/>
      <c r="AH45" s="50"/>
      <c r="AI45" s="50"/>
      <c r="AJ45" s="50"/>
    </row>
    <row r="46" spans="1:36" ht="15" customHeight="1" x14ac:dyDescent="0.25">
      <c r="A46" s="50">
        <v>9</v>
      </c>
      <c r="B46" s="50" t="s">
        <v>923</v>
      </c>
      <c r="C46" s="50" t="s">
        <v>1357</v>
      </c>
      <c r="D46" s="50">
        <v>41</v>
      </c>
      <c r="E46" s="50" t="s">
        <v>1359</v>
      </c>
      <c r="F46" s="50">
        <v>21</v>
      </c>
      <c r="G46" s="50">
        <v>4.5</v>
      </c>
      <c r="H46" s="50">
        <v>28</v>
      </c>
      <c r="I46" s="50">
        <v>2.74</v>
      </c>
      <c r="J46" s="50">
        <v>110</v>
      </c>
      <c r="K46" s="50">
        <v>71</v>
      </c>
      <c r="L46" s="50">
        <v>4.12</v>
      </c>
      <c r="M46" s="50">
        <v>3.64</v>
      </c>
      <c r="N46" s="50">
        <v>39</v>
      </c>
      <c r="O46" s="50">
        <v>8.9</v>
      </c>
      <c r="P46" s="50">
        <v>6.8</v>
      </c>
      <c r="Q46" s="50">
        <v>37.1</v>
      </c>
      <c r="R46" s="50">
        <v>41.1</v>
      </c>
      <c r="S46" s="50">
        <v>34.9</v>
      </c>
      <c r="T46" s="50">
        <v>64</v>
      </c>
      <c r="U46" s="50">
        <v>9.3000000000000007</v>
      </c>
      <c r="V46" s="50">
        <v>70.3</v>
      </c>
      <c r="W46" s="50">
        <v>59</v>
      </c>
      <c r="X46" s="50">
        <v>478</v>
      </c>
      <c r="Y46" s="50">
        <v>12.34</v>
      </c>
      <c r="Z46" s="50">
        <v>35.4</v>
      </c>
      <c r="AA46" s="50">
        <v>5.8</v>
      </c>
      <c r="AB46" s="50"/>
      <c r="AC46" s="50"/>
      <c r="AD46" s="50"/>
      <c r="AE46" s="50"/>
      <c r="AF46" s="50"/>
      <c r="AG46" s="50"/>
      <c r="AH46" s="50"/>
      <c r="AI46" s="50"/>
      <c r="AJ46" s="50"/>
    </row>
    <row r="47" spans="1:36" ht="15" customHeight="1" x14ac:dyDescent="0.25">
      <c r="A47" s="50">
        <v>10</v>
      </c>
      <c r="B47" s="50" t="s">
        <v>923</v>
      </c>
      <c r="C47" s="50" t="s">
        <v>1352</v>
      </c>
      <c r="D47" s="50">
        <v>34</v>
      </c>
      <c r="E47" s="50" t="s">
        <v>1355</v>
      </c>
      <c r="F47" s="50">
        <v>0</v>
      </c>
      <c r="G47" s="50">
        <v>6.5</v>
      </c>
      <c r="H47" s="50">
        <v>57</v>
      </c>
      <c r="I47" s="50">
        <v>3.38</v>
      </c>
      <c r="J47" s="50">
        <v>97</v>
      </c>
      <c r="K47" s="50">
        <v>100</v>
      </c>
      <c r="L47" s="50">
        <v>7.12</v>
      </c>
      <c r="M47" s="50">
        <v>5.36</v>
      </c>
      <c r="N47" s="50">
        <v>61</v>
      </c>
      <c r="O47" s="50">
        <v>14.3</v>
      </c>
      <c r="P47" s="50">
        <v>12.8</v>
      </c>
      <c r="Q47" s="50">
        <v>30.7</v>
      </c>
      <c r="R47" s="50">
        <v>25.9</v>
      </c>
      <c r="S47" s="50">
        <v>19.7</v>
      </c>
      <c r="T47" s="50">
        <v>39</v>
      </c>
      <c r="U47" s="50">
        <v>13.22</v>
      </c>
      <c r="V47" s="50">
        <v>48.4</v>
      </c>
      <c r="W47" s="50">
        <v>59</v>
      </c>
      <c r="X47" s="50">
        <v>430</v>
      </c>
      <c r="Y47" s="50">
        <v>6.08</v>
      </c>
      <c r="Z47" s="50">
        <v>26.8</v>
      </c>
      <c r="AA47" s="50">
        <v>5.64</v>
      </c>
      <c r="AB47" s="50"/>
      <c r="AC47" s="50"/>
      <c r="AD47" s="50"/>
      <c r="AE47" s="50"/>
      <c r="AF47" s="50"/>
      <c r="AG47" s="50"/>
      <c r="AH47" s="50"/>
      <c r="AI47" s="50"/>
      <c r="AJ47" s="50"/>
    </row>
    <row r="48" spans="1:36" ht="15" customHeight="1" x14ac:dyDescent="0.25">
      <c r="A48" s="50">
        <v>10</v>
      </c>
      <c r="B48" s="50" t="s">
        <v>923</v>
      </c>
      <c r="C48" s="50" t="s">
        <v>1352</v>
      </c>
      <c r="D48" s="50">
        <v>34</v>
      </c>
      <c r="E48" s="50" t="s">
        <v>1355</v>
      </c>
      <c r="F48" s="50">
        <v>4</v>
      </c>
      <c r="G48" s="50">
        <v>6.1</v>
      </c>
      <c r="H48" s="50">
        <v>59</v>
      </c>
      <c r="I48" s="50">
        <v>3.1</v>
      </c>
      <c r="J48" s="50">
        <v>100</v>
      </c>
      <c r="K48" s="50">
        <v>94</v>
      </c>
      <c r="L48" s="50">
        <v>6.56</v>
      </c>
      <c r="M48" s="50">
        <v>5.22</v>
      </c>
      <c r="N48" s="50">
        <v>55</v>
      </c>
      <c r="O48" s="50">
        <v>13</v>
      </c>
      <c r="P48" s="50">
        <v>12.1</v>
      </c>
      <c r="Q48" s="50">
        <v>30.2</v>
      </c>
      <c r="R48" s="50">
        <v>30.1</v>
      </c>
      <c r="S48" s="50">
        <v>21.1</v>
      </c>
      <c r="T48" s="50">
        <v>41</v>
      </c>
      <c r="U48" s="50">
        <v>13.04</v>
      </c>
      <c r="V48" s="50">
        <v>50.7</v>
      </c>
      <c r="W48" s="50">
        <v>60</v>
      </c>
      <c r="X48" s="50">
        <v>436</v>
      </c>
      <c r="Y48" s="50">
        <v>6.57</v>
      </c>
      <c r="Z48" s="50">
        <v>26.1</v>
      </c>
      <c r="AA48" s="50">
        <v>5.84</v>
      </c>
      <c r="AB48" s="50"/>
      <c r="AC48" s="50"/>
      <c r="AD48" s="50"/>
      <c r="AE48" s="50"/>
      <c r="AF48" s="50"/>
      <c r="AG48" s="50"/>
      <c r="AH48" s="50"/>
      <c r="AI48" s="50"/>
      <c r="AJ48" s="50"/>
    </row>
    <row r="49" spans="1:36" ht="15" customHeight="1" x14ac:dyDescent="0.25">
      <c r="A49" s="50">
        <v>10</v>
      </c>
      <c r="B49" s="50" t="s">
        <v>923</v>
      </c>
      <c r="C49" s="50" t="s">
        <v>1352</v>
      </c>
      <c r="D49" s="50">
        <v>34</v>
      </c>
      <c r="E49" s="50" t="s">
        <v>1355</v>
      </c>
      <c r="F49" s="50">
        <v>8</v>
      </c>
      <c r="G49" s="50">
        <v>5.5</v>
      </c>
      <c r="H49" s="50">
        <v>54</v>
      </c>
      <c r="I49" s="50">
        <v>2.99</v>
      </c>
      <c r="J49" s="50">
        <v>103</v>
      </c>
      <c r="K49" s="50">
        <v>89</v>
      </c>
      <c r="L49" s="50">
        <v>5.9</v>
      </c>
      <c r="M49" s="50">
        <v>4.7300000000000004</v>
      </c>
      <c r="N49" s="50">
        <v>51</v>
      </c>
      <c r="O49" s="50">
        <v>12.9</v>
      </c>
      <c r="P49" s="50">
        <v>11</v>
      </c>
      <c r="Q49" s="50">
        <v>27.3</v>
      </c>
      <c r="R49" s="50">
        <v>35.9</v>
      </c>
      <c r="S49" s="50">
        <v>21.5</v>
      </c>
      <c r="T49" s="50">
        <v>47</v>
      </c>
      <c r="U49" s="50">
        <v>10.84</v>
      </c>
      <c r="V49" s="50">
        <v>52.1</v>
      </c>
      <c r="W49" s="50">
        <v>63</v>
      </c>
      <c r="X49" s="50">
        <v>444</v>
      </c>
      <c r="Y49" s="50">
        <v>6.22</v>
      </c>
      <c r="Z49" s="50">
        <v>29</v>
      </c>
      <c r="AA49" s="50">
        <v>5.88</v>
      </c>
      <c r="AB49" s="50"/>
      <c r="AC49" s="50"/>
      <c r="AD49" s="50"/>
      <c r="AE49" s="50"/>
      <c r="AF49" s="50"/>
      <c r="AG49" s="50"/>
      <c r="AH49" s="50"/>
      <c r="AI49" s="50"/>
      <c r="AJ49" s="50"/>
    </row>
    <row r="50" spans="1:36" ht="15" customHeight="1" x14ac:dyDescent="0.25">
      <c r="A50" s="50">
        <v>10</v>
      </c>
      <c r="B50" s="50" t="s">
        <v>923</v>
      </c>
      <c r="C50" s="50" t="s">
        <v>1352</v>
      </c>
      <c r="D50" s="50">
        <v>34</v>
      </c>
      <c r="E50" s="50" t="s">
        <v>1355</v>
      </c>
      <c r="F50" s="50">
        <v>12</v>
      </c>
      <c r="G50" s="50">
        <v>5.2</v>
      </c>
      <c r="H50" s="50">
        <v>52</v>
      </c>
      <c r="I50" s="50">
        <v>2.77</v>
      </c>
      <c r="J50" s="50">
        <v>102</v>
      </c>
      <c r="K50" s="50">
        <v>83</v>
      </c>
      <c r="L50" s="50">
        <v>5.72</v>
      </c>
      <c r="M50" s="50">
        <v>4.6399999999999997</v>
      </c>
      <c r="N50" s="50">
        <v>53</v>
      </c>
      <c r="O50" s="50">
        <v>13.5</v>
      </c>
      <c r="P50" s="50">
        <v>10.4</v>
      </c>
      <c r="Q50" s="50">
        <v>25.4</v>
      </c>
      <c r="R50" s="50">
        <v>35.799999999999997</v>
      </c>
      <c r="S50" s="50">
        <v>23.8</v>
      </c>
      <c r="T50" s="50">
        <v>46</v>
      </c>
      <c r="U50" s="50">
        <v>11.4</v>
      </c>
      <c r="V50" s="50">
        <v>54</v>
      </c>
      <c r="W50" s="50">
        <v>63</v>
      </c>
      <c r="X50" s="50">
        <v>455</v>
      </c>
      <c r="Y50" s="50">
        <v>6.25</v>
      </c>
      <c r="Z50" s="50">
        <v>29.5</v>
      </c>
      <c r="AA50" s="50">
        <v>5.82</v>
      </c>
      <c r="AB50" s="50"/>
      <c r="AC50" s="50"/>
      <c r="AD50" s="50"/>
      <c r="AE50" s="50"/>
      <c r="AF50" s="50"/>
      <c r="AG50" s="50"/>
      <c r="AH50" s="50"/>
      <c r="AI50" s="50"/>
      <c r="AJ50" s="50"/>
    </row>
    <row r="51" spans="1:36" ht="15" customHeight="1" x14ac:dyDescent="0.25">
      <c r="A51" s="50">
        <v>10</v>
      </c>
      <c r="B51" s="50" t="s">
        <v>923</v>
      </c>
      <c r="C51" s="50" t="s">
        <v>1352</v>
      </c>
      <c r="D51" s="50">
        <v>34</v>
      </c>
      <c r="E51" s="50" t="s">
        <v>1355</v>
      </c>
      <c r="F51" s="50">
        <v>21</v>
      </c>
      <c r="G51" s="50">
        <v>3.9</v>
      </c>
      <c r="H51" s="50">
        <v>47</v>
      </c>
      <c r="I51" s="50">
        <v>2.54</v>
      </c>
      <c r="J51" s="50">
        <v>111</v>
      </c>
      <c r="K51" s="50">
        <v>71</v>
      </c>
      <c r="L51" s="50">
        <v>3.72</v>
      </c>
      <c r="M51" s="50">
        <v>4</v>
      </c>
      <c r="N51" s="50">
        <v>41</v>
      </c>
      <c r="O51" s="50">
        <v>10</v>
      </c>
      <c r="P51" s="50">
        <v>9.3000000000000007</v>
      </c>
      <c r="Q51" s="50">
        <v>23.8</v>
      </c>
      <c r="R51" s="50">
        <v>47.2</v>
      </c>
      <c r="S51" s="50">
        <v>28.3</v>
      </c>
      <c r="T51" s="50">
        <v>60</v>
      </c>
      <c r="U51" s="50">
        <v>9.3699999999999992</v>
      </c>
      <c r="V51" s="50">
        <v>58.7</v>
      </c>
      <c r="W51" s="50">
        <v>68</v>
      </c>
      <c r="X51" s="50">
        <v>478</v>
      </c>
      <c r="Y51" s="50">
        <v>6.81</v>
      </c>
      <c r="Z51" s="50">
        <v>32.6</v>
      </c>
      <c r="AA51" s="50">
        <v>6.5</v>
      </c>
      <c r="AB51" s="50"/>
      <c r="AC51" s="50"/>
      <c r="AD51" s="50"/>
      <c r="AE51" s="50"/>
      <c r="AF51" s="50"/>
      <c r="AG51" s="50"/>
      <c r="AH51" s="50"/>
      <c r="AI51" s="50"/>
      <c r="AJ51" s="50"/>
    </row>
    <row r="52" spans="1:36" ht="15" customHeight="1" x14ac:dyDescent="0.25">
      <c r="A52" s="50">
        <v>11</v>
      </c>
      <c r="B52" s="50" t="s">
        <v>923</v>
      </c>
      <c r="C52" s="50" t="s">
        <v>1352</v>
      </c>
      <c r="D52" s="50">
        <v>51</v>
      </c>
      <c r="E52" s="50" t="s">
        <v>1355</v>
      </c>
      <c r="F52" s="50">
        <v>0</v>
      </c>
      <c r="G52" s="50">
        <v>6.4</v>
      </c>
      <c r="H52" s="50">
        <v>71</v>
      </c>
      <c r="I52" s="50">
        <v>3.59</v>
      </c>
      <c r="J52" s="50">
        <v>111</v>
      </c>
      <c r="K52" s="50">
        <v>100</v>
      </c>
      <c r="L52" s="50">
        <v>7.02</v>
      </c>
      <c r="M52" s="50">
        <v>6.1</v>
      </c>
      <c r="N52" s="50">
        <v>40</v>
      </c>
      <c r="O52" s="50">
        <v>10.6</v>
      </c>
      <c r="P52" s="50">
        <v>14.9</v>
      </c>
      <c r="Q52" s="50">
        <v>51.6</v>
      </c>
      <c r="R52" s="50">
        <v>41</v>
      </c>
      <c r="S52" s="50">
        <v>24.8</v>
      </c>
      <c r="T52" s="50">
        <v>42</v>
      </c>
      <c r="U52" s="50">
        <v>6.33</v>
      </c>
      <c r="V52" s="50">
        <v>57.3</v>
      </c>
      <c r="W52" s="50">
        <v>49</v>
      </c>
      <c r="X52" s="50">
        <v>268</v>
      </c>
      <c r="Y52" s="50">
        <v>14.15</v>
      </c>
      <c r="Z52" s="50">
        <v>33.299999999999997</v>
      </c>
      <c r="AA52" s="50">
        <v>4.59</v>
      </c>
      <c r="AB52" s="50"/>
      <c r="AC52" s="50"/>
      <c r="AD52" s="50"/>
      <c r="AE52" s="50"/>
      <c r="AF52" s="50"/>
      <c r="AG52" s="50"/>
      <c r="AH52" s="50"/>
      <c r="AI52" s="50"/>
      <c r="AJ52" s="50"/>
    </row>
    <row r="53" spans="1:36" ht="15" customHeight="1" x14ac:dyDescent="0.25">
      <c r="A53" s="50">
        <v>11</v>
      </c>
      <c r="B53" s="50" t="s">
        <v>923</v>
      </c>
      <c r="C53" s="50" t="s">
        <v>1352</v>
      </c>
      <c r="D53" s="50">
        <v>51</v>
      </c>
      <c r="E53" s="50" t="s">
        <v>1355</v>
      </c>
      <c r="F53" s="50">
        <v>4</v>
      </c>
      <c r="G53" s="50">
        <v>5.9</v>
      </c>
      <c r="H53" s="50">
        <v>68</v>
      </c>
      <c r="I53" s="50">
        <v>3.37</v>
      </c>
      <c r="J53" s="50">
        <v>114</v>
      </c>
      <c r="K53" s="50">
        <v>94</v>
      </c>
      <c r="L53" s="50">
        <v>6.84</v>
      </c>
      <c r="M53" s="50">
        <v>5.62</v>
      </c>
      <c r="N53" s="50">
        <v>41</v>
      </c>
      <c r="O53" s="50">
        <v>9.5</v>
      </c>
      <c r="P53" s="50">
        <v>13.4</v>
      </c>
      <c r="Q53" s="50">
        <v>47</v>
      </c>
      <c r="R53" s="50">
        <v>42.6</v>
      </c>
      <c r="S53" s="50">
        <v>26.5</v>
      </c>
      <c r="T53" s="50">
        <v>43</v>
      </c>
      <c r="U53" s="50">
        <v>6.85</v>
      </c>
      <c r="V53" s="50">
        <v>58.8</v>
      </c>
      <c r="W53" s="50">
        <v>54</v>
      </c>
      <c r="X53" s="50">
        <v>285</v>
      </c>
      <c r="Y53" s="50">
        <v>13.17</v>
      </c>
      <c r="Z53" s="50">
        <v>35.200000000000003</v>
      </c>
      <c r="AA53" s="50">
        <v>4.7300000000000004</v>
      </c>
      <c r="AB53" s="50"/>
      <c r="AC53" s="50"/>
      <c r="AD53" s="50"/>
      <c r="AE53" s="50"/>
      <c r="AF53" s="50"/>
      <c r="AG53" s="50"/>
      <c r="AH53" s="50"/>
      <c r="AI53" s="50"/>
      <c r="AJ53" s="50"/>
    </row>
    <row r="54" spans="1:36" ht="15" customHeight="1" x14ac:dyDescent="0.25">
      <c r="A54" s="50">
        <v>11</v>
      </c>
      <c r="B54" s="50" t="s">
        <v>923</v>
      </c>
      <c r="C54" s="50" t="s">
        <v>1352</v>
      </c>
      <c r="D54" s="50">
        <v>51</v>
      </c>
      <c r="E54" s="50" t="s">
        <v>1355</v>
      </c>
      <c r="F54" s="50">
        <v>8</v>
      </c>
      <c r="G54" s="50">
        <v>5.4</v>
      </c>
      <c r="H54" s="50">
        <v>68</v>
      </c>
      <c r="I54" s="50">
        <v>3.21</v>
      </c>
      <c r="J54" s="50">
        <v>113</v>
      </c>
      <c r="K54" s="50">
        <v>89</v>
      </c>
      <c r="L54" s="50">
        <v>6.03</v>
      </c>
      <c r="M54" s="50">
        <v>5.04</v>
      </c>
      <c r="N54" s="50">
        <v>39</v>
      </c>
      <c r="O54" s="50">
        <v>9.6</v>
      </c>
      <c r="P54" s="50">
        <v>13</v>
      </c>
      <c r="Q54" s="50">
        <v>43.7</v>
      </c>
      <c r="R54" s="50">
        <v>47.1</v>
      </c>
      <c r="S54" s="50">
        <v>25.3</v>
      </c>
      <c r="T54" s="50">
        <v>50</v>
      </c>
      <c r="U54" s="50">
        <v>5.65</v>
      </c>
      <c r="V54" s="50">
        <v>61.3</v>
      </c>
      <c r="W54" s="50">
        <v>58</v>
      </c>
      <c r="X54" s="50">
        <v>317</v>
      </c>
      <c r="Y54" s="50">
        <v>12.14</v>
      </c>
      <c r="Z54" s="50">
        <v>35.200000000000003</v>
      </c>
      <c r="AA54" s="50">
        <v>4.96</v>
      </c>
      <c r="AB54" s="50"/>
      <c r="AC54" s="50"/>
      <c r="AD54" s="50"/>
      <c r="AE54" s="50"/>
      <c r="AF54" s="50"/>
      <c r="AG54" s="50"/>
      <c r="AH54" s="50"/>
      <c r="AI54" s="50"/>
      <c r="AJ54" s="50"/>
    </row>
    <row r="55" spans="1:36" ht="15" customHeight="1" x14ac:dyDescent="0.25">
      <c r="A55" s="50">
        <v>11</v>
      </c>
      <c r="B55" s="50" t="s">
        <v>923</v>
      </c>
      <c r="C55" s="50" t="s">
        <v>1352</v>
      </c>
      <c r="D55" s="50">
        <v>51</v>
      </c>
      <c r="E55" s="50" t="s">
        <v>1355</v>
      </c>
      <c r="F55" s="50">
        <v>12</v>
      </c>
      <c r="G55" s="50">
        <v>5</v>
      </c>
      <c r="H55" s="50">
        <v>64</v>
      </c>
      <c r="I55" s="50">
        <v>2.98</v>
      </c>
      <c r="J55" s="50">
        <v>117</v>
      </c>
      <c r="K55" s="50">
        <v>83</v>
      </c>
      <c r="L55" s="50">
        <v>5.84</v>
      </c>
      <c r="M55" s="50">
        <v>5</v>
      </c>
      <c r="N55" s="50">
        <v>33</v>
      </c>
      <c r="O55" s="50">
        <v>9.1999999999999993</v>
      </c>
      <c r="P55" s="50">
        <v>13.8</v>
      </c>
      <c r="Q55" s="50">
        <v>42.7</v>
      </c>
      <c r="R55" s="50">
        <v>49.5</v>
      </c>
      <c r="S55" s="50">
        <v>29.6</v>
      </c>
      <c r="T55" s="50">
        <v>54</v>
      </c>
      <c r="U55" s="50">
        <v>5.58</v>
      </c>
      <c r="V55" s="50">
        <v>60.4</v>
      </c>
      <c r="W55" s="50">
        <v>59</v>
      </c>
      <c r="X55" s="50">
        <v>337</v>
      </c>
      <c r="Y55" s="50">
        <v>11.6</v>
      </c>
      <c r="Z55" s="50">
        <v>36.6</v>
      </c>
      <c r="AA55" s="50">
        <v>4.9800000000000004</v>
      </c>
      <c r="AB55" s="50"/>
      <c r="AC55" s="50"/>
      <c r="AD55" s="50"/>
      <c r="AE55" s="50"/>
      <c r="AF55" s="50"/>
      <c r="AG55" s="50"/>
      <c r="AH55" s="50"/>
      <c r="AI55" s="50"/>
      <c r="AJ55" s="50"/>
    </row>
    <row r="56" spans="1:36" ht="15" customHeight="1" x14ac:dyDescent="0.25">
      <c r="A56" s="50">
        <v>11</v>
      </c>
      <c r="B56" s="50" t="s">
        <v>923</v>
      </c>
      <c r="C56" s="50" t="s">
        <v>1352</v>
      </c>
      <c r="D56" s="50">
        <v>51</v>
      </c>
      <c r="E56" s="50" t="s">
        <v>1355</v>
      </c>
      <c r="F56" s="50">
        <v>21</v>
      </c>
      <c r="G56" s="50">
        <v>4</v>
      </c>
      <c r="H56" s="50">
        <v>58</v>
      </c>
      <c r="I56" s="50">
        <v>2.68</v>
      </c>
      <c r="J56" s="50">
        <v>122</v>
      </c>
      <c r="K56" s="50">
        <v>71</v>
      </c>
      <c r="L56" s="50">
        <v>4.5199999999999996</v>
      </c>
      <c r="M56" s="50">
        <v>3.62</v>
      </c>
      <c r="N56" s="50">
        <v>34</v>
      </c>
      <c r="O56" s="50">
        <v>9.4</v>
      </c>
      <c r="P56" s="50">
        <v>10.9</v>
      </c>
      <c r="Q56" s="50">
        <v>38.4</v>
      </c>
      <c r="R56" s="50">
        <v>55.6</v>
      </c>
      <c r="S56" s="50">
        <v>31.7</v>
      </c>
      <c r="T56" s="50">
        <v>64</v>
      </c>
      <c r="U56" s="50">
        <v>5.5</v>
      </c>
      <c r="V56" s="50">
        <v>62.9</v>
      </c>
      <c r="W56" s="50">
        <v>64</v>
      </c>
      <c r="X56" s="50">
        <v>408</v>
      </c>
      <c r="Y56" s="50">
        <v>10.83</v>
      </c>
      <c r="Z56" s="50">
        <v>40.200000000000003</v>
      </c>
      <c r="AA56" s="50">
        <v>5.58</v>
      </c>
      <c r="AB56" s="50"/>
      <c r="AC56" s="50"/>
      <c r="AD56" s="50"/>
      <c r="AE56" s="50"/>
      <c r="AF56" s="50"/>
      <c r="AG56" s="50"/>
      <c r="AH56" s="50"/>
      <c r="AI56" s="50"/>
      <c r="AJ56" s="50"/>
    </row>
    <row r="57" spans="1:36" ht="15" customHeight="1" x14ac:dyDescent="0.25">
      <c r="A57" s="50">
        <v>12</v>
      </c>
      <c r="B57" s="50" t="s">
        <v>923</v>
      </c>
      <c r="C57" s="50" t="s">
        <v>1352</v>
      </c>
      <c r="D57" s="50">
        <v>53</v>
      </c>
      <c r="E57" s="50" t="s">
        <v>1355</v>
      </c>
      <c r="F57" s="50">
        <v>0</v>
      </c>
      <c r="G57" s="50">
        <v>6.7</v>
      </c>
      <c r="H57" s="50">
        <v>53</v>
      </c>
      <c r="I57" s="50">
        <v>3.72</v>
      </c>
      <c r="J57" s="50">
        <v>91</v>
      </c>
      <c r="K57" s="50">
        <v>100</v>
      </c>
      <c r="L57" s="50">
        <v>8.1999999999999993</v>
      </c>
      <c r="M57" s="50">
        <v>5.28</v>
      </c>
      <c r="N57" s="50">
        <v>46</v>
      </c>
      <c r="O57" s="50">
        <v>12.2</v>
      </c>
      <c r="P57" s="50">
        <v>12</v>
      </c>
      <c r="Q57" s="50">
        <v>46.2</v>
      </c>
      <c r="R57" s="50">
        <v>26.5</v>
      </c>
      <c r="S57" s="50">
        <v>19.899999999999999</v>
      </c>
      <c r="T57" s="50">
        <v>33</v>
      </c>
      <c r="U57" s="50">
        <v>7.8</v>
      </c>
      <c r="V57" s="50">
        <v>52.4</v>
      </c>
      <c r="W57" s="50">
        <v>28</v>
      </c>
      <c r="X57" s="50">
        <v>383</v>
      </c>
      <c r="Y57" s="50">
        <v>12.98</v>
      </c>
      <c r="Z57" s="50">
        <v>25.9</v>
      </c>
      <c r="AA57" s="50">
        <v>4.42</v>
      </c>
      <c r="AB57" s="50"/>
      <c r="AC57" s="50"/>
      <c r="AD57" s="50"/>
      <c r="AE57" s="50"/>
      <c r="AF57" s="50"/>
      <c r="AG57" s="50"/>
      <c r="AH57" s="50"/>
      <c r="AI57" s="50"/>
      <c r="AJ57" s="50"/>
    </row>
    <row r="58" spans="1:36" ht="15" customHeight="1" x14ac:dyDescent="0.25">
      <c r="A58" s="50">
        <v>12</v>
      </c>
      <c r="B58" s="50" t="s">
        <v>923</v>
      </c>
      <c r="C58" s="50" t="s">
        <v>1352</v>
      </c>
      <c r="D58" s="50">
        <v>53</v>
      </c>
      <c r="E58" s="50" t="s">
        <v>1355</v>
      </c>
      <c r="F58" s="50">
        <v>4</v>
      </c>
      <c r="G58" s="50">
        <v>6</v>
      </c>
      <c r="H58" s="50">
        <v>50</v>
      </c>
      <c r="I58" s="50">
        <v>3.54</v>
      </c>
      <c r="J58" s="50">
        <v>94</v>
      </c>
      <c r="K58" s="50">
        <v>94</v>
      </c>
      <c r="L58" s="50">
        <v>7.17</v>
      </c>
      <c r="M58" s="50">
        <v>4.8099999999999996</v>
      </c>
      <c r="N58" s="50">
        <v>45</v>
      </c>
      <c r="O58" s="50">
        <v>11.5</v>
      </c>
      <c r="P58" s="50">
        <v>12</v>
      </c>
      <c r="Q58" s="50">
        <v>40.799999999999997</v>
      </c>
      <c r="R58" s="50">
        <v>32.200000000000003</v>
      </c>
      <c r="S58" s="50">
        <v>21.7</v>
      </c>
      <c r="T58" s="50">
        <v>41</v>
      </c>
      <c r="U58" s="50">
        <v>8.3800000000000008</v>
      </c>
      <c r="V58" s="50">
        <v>53.8</v>
      </c>
      <c r="W58" s="50">
        <v>34</v>
      </c>
      <c r="X58" s="50">
        <v>399</v>
      </c>
      <c r="Y58" s="50">
        <v>12.67</v>
      </c>
      <c r="Z58" s="50">
        <v>28.3</v>
      </c>
      <c r="AA58" s="50">
        <v>4.79</v>
      </c>
      <c r="AB58" s="50"/>
      <c r="AC58" s="50"/>
      <c r="AD58" s="50"/>
      <c r="AE58" s="50"/>
      <c r="AF58" s="50"/>
      <c r="AG58" s="50"/>
      <c r="AH58" s="50"/>
      <c r="AI58" s="50"/>
      <c r="AJ58" s="50"/>
    </row>
    <row r="59" spans="1:36" ht="15" customHeight="1" x14ac:dyDescent="0.25">
      <c r="A59" s="50">
        <v>12</v>
      </c>
      <c r="B59" s="50" t="s">
        <v>923</v>
      </c>
      <c r="C59" s="50" t="s">
        <v>1352</v>
      </c>
      <c r="D59" s="50">
        <v>53</v>
      </c>
      <c r="E59" s="50" t="s">
        <v>1355</v>
      </c>
      <c r="F59" s="50">
        <v>8</v>
      </c>
      <c r="G59" s="50">
        <v>5.7</v>
      </c>
      <c r="H59" s="50">
        <v>49</v>
      </c>
      <c r="I59" s="50">
        <v>3.38</v>
      </c>
      <c r="J59" s="50">
        <v>94</v>
      </c>
      <c r="K59" s="50">
        <v>89</v>
      </c>
      <c r="L59" s="50">
        <v>6.87</v>
      </c>
      <c r="M59" s="50">
        <v>4.59</v>
      </c>
      <c r="N59" s="50">
        <v>41</v>
      </c>
      <c r="O59" s="50">
        <v>11.4</v>
      </c>
      <c r="P59" s="50">
        <v>11</v>
      </c>
      <c r="Q59" s="50">
        <v>41.8</v>
      </c>
      <c r="R59" s="50">
        <v>34.4</v>
      </c>
      <c r="S59" s="50">
        <v>24.4</v>
      </c>
      <c r="T59" s="50">
        <v>40</v>
      </c>
      <c r="U59" s="50">
        <v>8.25</v>
      </c>
      <c r="V59" s="50">
        <v>54.8</v>
      </c>
      <c r="W59" s="50">
        <v>36</v>
      </c>
      <c r="X59" s="50">
        <v>416</v>
      </c>
      <c r="Y59" s="50">
        <v>11.97</v>
      </c>
      <c r="Z59" s="50">
        <v>29.6</v>
      </c>
      <c r="AA59" s="50">
        <v>5.01</v>
      </c>
      <c r="AB59" s="50"/>
      <c r="AC59" s="50"/>
      <c r="AD59" s="50"/>
      <c r="AE59" s="50"/>
      <c r="AF59" s="50"/>
      <c r="AG59" s="50"/>
      <c r="AH59" s="50"/>
      <c r="AI59" s="50"/>
      <c r="AJ59" s="50"/>
    </row>
    <row r="60" spans="1:36" ht="15" customHeight="1" x14ac:dyDescent="0.25">
      <c r="A60" s="50">
        <v>12</v>
      </c>
      <c r="B60" s="50" t="s">
        <v>923</v>
      </c>
      <c r="C60" s="50" t="s">
        <v>1352</v>
      </c>
      <c r="D60" s="50">
        <v>53</v>
      </c>
      <c r="E60" s="50" t="s">
        <v>1355</v>
      </c>
      <c r="F60" s="50">
        <v>12</v>
      </c>
      <c r="G60" s="50">
        <v>5.3</v>
      </c>
      <c r="H60" s="50">
        <v>47</v>
      </c>
      <c r="I60" s="50">
        <v>3.12</v>
      </c>
      <c r="J60" s="50">
        <v>100</v>
      </c>
      <c r="K60" s="50">
        <v>83</v>
      </c>
      <c r="L60" s="50">
        <v>6.29</v>
      </c>
      <c r="M60" s="50">
        <v>4.5599999999999996</v>
      </c>
      <c r="N60" s="50">
        <v>40</v>
      </c>
      <c r="O60" s="50">
        <v>11.3</v>
      </c>
      <c r="P60" s="50">
        <v>11.4</v>
      </c>
      <c r="Q60" s="50">
        <v>35.5</v>
      </c>
      <c r="R60" s="50">
        <v>36.700000000000003</v>
      </c>
      <c r="S60" s="50">
        <v>24.3</v>
      </c>
      <c r="T60" s="50">
        <v>51</v>
      </c>
      <c r="U60" s="50">
        <v>6.29</v>
      </c>
      <c r="V60" s="50">
        <v>57.7</v>
      </c>
      <c r="W60" s="50">
        <v>42</v>
      </c>
      <c r="X60" s="50">
        <v>430</v>
      </c>
      <c r="Y60" s="50">
        <v>11.93</v>
      </c>
      <c r="Z60" s="50">
        <v>29.5</v>
      </c>
      <c r="AA60" s="50">
        <v>5.0599999999999996</v>
      </c>
      <c r="AB60" s="50"/>
      <c r="AC60" s="50"/>
      <c r="AD60" s="50"/>
      <c r="AE60" s="50"/>
      <c r="AF60" s="50"/>
      <c r="AG60" s="50"/>
      <c r="AH60" s="50"/>
      <c r="AI60" s="50"/>
      <c r="AJ60" s="50"/>
    </row>
    <row r="61" spans="1:36" ht="15" customHeight="1" x14ac:dyDescent="0.25">
      <c r="A61" s="50">
        <v>12</v>
      </c>
      <c r="B61" s="50" t="s">
        <v>923</v>
      </c>
      <c r="C61" s="50" t="s">
        <v>1352</v>
      </c>
      <c r="D61" s="50">
        <v>53</v>
      </c>
      <c r="E61" s="50" t="s">
        <v>1355</v>
      </c>
      <c r="F61" s="50">
        <v>21</v>
      </c>
      <c r="G61" s="50">
        <v>4.3</v>
      </c>
      <c r="H61" s="50">
        <v>43</v>
      </c>
      <c r="I61" s="50">
        <v>2.79</v>
      </c>
      <c r="J61" s="50">
        <v>104</v>
      </c>
      <c r="K61" s="50">
        <v>71</v>
      </c>
      <c r="L61" s="50">
        <v>5.32</v>
      </c>
      <c r="M61" s="50">
        <v>3.77</v>
      </c>
      <c r="N61" s="50">
        <v>37</v>
      </c>
      <c r="O61" s="50">
        <v>9.6</v>
      </c>
      <c r="P61" s="50">
        <v>10.199999999999999</v>
      </c>
      <c r="Q61" s="50">
        <v>28</v>
      </c>
      <c r="R61" s="50">
        <v>45.3</v>
      </c>
      <c r="S61" s="50">
        <v>27.1</v>
      </c>
      <c r="T61" s="50">
        <v>60</v>
      </c>
      <c r="U61" s="50">
        <v>6.82</v>
      </c>
      <c r="V61" s="50">
        <v>59.8</v>
      </c>
      <c r="W61" s="50">
        <v>47</v>
      </c>
      <c r="X61" s="50">
        <v>459</v>
      </c>
      <c r="Y61" s="50">
        <v>9.6300000000000008</v>
      </c>
      <c r="Z61" s="50">
        <v>33.1</v>
      </c>
      <c r="AA61" s="50">
        <v>5.64</v>
      </c>
      <c r="AB61" s="50"/>
      <c r="AC61" s="50"/>
      <c r="AD61" s="50"/>
      <c r="AE61" s="50"/>
      <c r="AF61" s="50"/>
      <c r="AG61" s="50"/>
      <c r="AH61" s="50"/>
      <c r="AI61" s="50"/>
      <c r="AJ61" s="50"/>
    </row>
    <row r="62" spans="1:36" ht="15" customHeight="1" x14ac:dyDescent="0.25">
      <c r="A62" s="50">
        <v>13</v>
      </c>
      <c r="B62" s="50" t="s">
        <v>923</v>
      </c>
      <c r="C62" s="50" t="s">
        <v>1352</v>
      </c>
      <c r="D62" s="50">
        <v>36</v>
      </c>
      <c r="E62" s="50" t="s">
        <v>1360</v>
      </c>
      <c r="F62" s="50">
        <v>0</v>
      </c>
      <c r="G62" s="50">
        <v>7.6</v>
      </c>
      <c r="H62" s="50">
        <v>48</v>
      </c>
      <c r="I62" s="50">
        <v>3.44</v>
      </c>
      <c r="J62" s="50">
        <v>96</v>
      </c>
      <c r="K62" s="50">
        <v>100</v>
      </c>
      <c r="L62" s="50">
        <v>6.91</v>
      </c>
      <c r="M62" s="50">
        <v>6.02</v>
      </c>
      <c r="N62" s="50">
        <v>51</v>
      </c>
      <c r="O62" s="50">
        <v>13.7</v>
      </c>
      <c r="P62" s="50">
        <v>12.3</v>
      </c>
      <c r="Q62" s="50">
        <v>43.9</v>
      </c>
      <c r="R62" s="50">
        <v>25.9</v>
      </c>
      <c r="S62" s="50">
        <v>25.1</v>
      </c>
      <c r="T62" s="50">
        <v>41</v>
      </c>
      <c r="U62" s="50">
        <v>12.44</v>
      </c>
      <c r="V62" s="50">
        <v>60.4</v>
      </c>
      <c r="W62" s="50">
        <v>46</v>
      </c>
      <c r="X62" s="50">
        <v>398</v>
      </c>
      <c r="Y62" s="50">
        <v>12.71</v>
      </c>
      <c r="Z62" s="50">
        <v>24.7</v>
      </c>
      <c r="AA62" s="50">
        <v>5.04</v>
      </c>
      <c r="AB62" s="50"/>
      <c r="AC62" s="50"/>
      <c r="AD62" s="50"/>
      <c r="AE62" s="50"/>
      <c r="AF62" s="50"/>
      <c r="AG62" s="50"/>
      <c r="AH62" s="50"/>
      <c r="AI62" s="50"/>
      <c r="AJ62" s="50"/>
    </row>
    <row r="63" spans="1:36" ht="15" customHeight="1" x14ac:dyDescent="0.25">
      <c r="A63" s="50">
        <v>13</v>
      </c>
      <c r="B63" s="50" t="s">
        <v>923</v>
      </c>
      <c r="C63" s="50" t="s">
        <v>1352</v>
      </c>
      <c r="D63" s="50">
        <v>36</v>
      </c>
      <c r="E63" s="50" t="s">
        <v>1360</v>
      </c>
      <c r="F63" s="50">
        <v>4</v>
      </c>
      <c r="G63" s="50">
        <v>6.7</v>
      </c>
      <c r="H63" s="50">
        <v>45</v>
      </c>
      <c r="I63" s="50">
        <v>3.28</v>
      </c>
      <c r="J63" s="50">
        <v>102</v>
      </c>
      <c r="K63" s="50">
        <v>94</v>
      </c>
      <c r="L63" s="50">
        <v>6.42</v>
      </c>
      <c r="M63" s="50">
        <v>5.56</v>
      </c>
      <c r="N63" s="50">
        <v>45</v>
      </c>
      <c r="O63" s="50">
        <v>13.3</v>
      </c>
      <c r="P63" s="50">
        <v>11.2</v>
      </c>
      <c r="Q63" s="50">
        <v>41.7</v>
      </c>
      <c r="R63" s="50">
        <v>35.4</v>
      </c>
      <c r="S63" s="50">
        <v>29.2</v>
      </c>
      <c r="T63" s="50">
        <v>45</v>
      </c>
      <c r="U63" s="50">
        <v>11.52</v>
      </c>
      <c r="V63" s="50">
        <v>62</v>
      </c>
      <c r="W63" s="50">
        <v>51</v>
      </c>
      <c r="X63" s="50">
        <v>421</v>
      </c>
      <c r="Y63" s="50">
        <v>11.93</v>
      </c>
      <c r="Z63" s="50">
        <v>25.3</v>
      </c>
      <c r="AA63" s="50">
        <v>5.47</v>
      </c>
      <c r="AB63" s="50"/>
      <c r="AC63" s="50"/>
      <c r="AD63" s="50"/>
      <c r="AE63" s="50"/>
      <c r="AF63" s="50"/>
      <c r="AG63" s="50"/>
      <c r="AH63" s="50"/>
      <c r="AI63" s="50"/>
      <c r="AJ63" s="50"/>
    </row>
    <row r="64" spans="1:36" ht="15" customHeight="1" x14ac:dyDescent="0.25">
      <c r="A64" s="50">
        <v>13</v>
      </c>
      <c r="B64" s="50" t="s">
        <v>923</v>
      </c>
      <c r="C64" s="50" t="s">
        <v>1352</v>
      </c>
      <c r="D64" s="50">
        <v>36</v>
      </c>
      <c r="E64" s="50" t="s">
        <v>1360</v>
      </c>
      <c r="F64" s="50">
        <v>8</v>
      </c>
      <c r="G64" s="50">
        <v>6.4</v>
      </c>
      <c r="H64" s="50">
        <v>45</v>
      </c>
      <c r="I64" s="50">
        <v>3.1</v>
      </c>
      <c r="J64" s="50">
        <v>101</v>
      </c>
      <c r="K64" s="50">
        <v>89</v>
      </c>
      <c r="L64" s="50">
        <v>6.25</v>
      </c>
      <c r="M64" s="50">
        <v>5.21</v>
      </c>
      <c r="N64" s="50">
        <v>46</v>
      </c>
      <c r="O64" s="50">
        <v>13.8</v>
      </c>
      <c r="P64" s="50">
        <v>10.8</v>
      </c>
      <c r="Q64" s="50">
        <v>39.200000000000003</v>
      </c>
      <c r="R64" s="50">
        <v>38.700000000000003</v>
      </c>
      <c r="S64" s="50">
        <v>29.4</v>
      </c>
      <c r="T64" s="50">
        <v>47</v>
      </c>
      <c r="U64" s="50">
        <v>11.56</v>
      </c>
      <c r="V64" s="50">
        <v>62.6</v>
      </c>
      <c r="W64" s="50">
        <v>56</v>
      </c>
      <c r="X64" s="50">
        <v>420</v>
      </c>
      <c r="Y64" s="50">
        <v>11.58</v>
      </c>
      <c r="Z64" s="50">
        <v>27.4</v>
      </c>
      <c r="AA64" s="50">
        <v>5.4</v>
      </c>
      <c r="AB64" s="50"/>
      <c r="AC64" s="50"/>
      <c r="AD64" s="50"/>
      <c r="AE64" s="50"/>
      <c r="AF64" s="50"/>
      <c r="AG64" s="50"/>
      <c r="AH64" s="50"/>
      <c r="AI64" s="50"/>
      <c r="AJ64" s="50"/>
    </row>
    <row r="65" spans="1:36" ht="15" customHeight="1" x14ac:dyDescent="0.25">
      <c r="A65" s="50">
        <v>13</v>
      </c>
      <c r="B65" s="50" t="s">
        <v>923</v>
      </c>
      <c r="C65" s="50" t="s">
        <v>1352</v>
      </c>
      <c r="D65" s="50">
        <v>36</v>
      </c>
      <c r="E65" s="50" t="s">
        <v>1360</v>
      </c>
      <c r="F65" s="50">
        <v>12</v>
      </c>
      <c r="G65" s="50">
        <v>6</v>
      </c>
      <c r="H65" s="50">
        <v>42</v>
      </c>
      <c r="I65" s="50">
        <v>2.86</v>
      </c>
      <c r="J65" s="50">
        <v>101</v>
      </c>
      <c r="K65" s="50">
        <v>83</v>
      </c>
      <c r="L65" s="50">
        <v>5.82</v>
      </c>
      <c r="M65" s="50">
        <v>4.99</v>
      </c>
      <c r="N65" s="50">
        <v>40</v>
      </c>
      <c r="O65" s="50">
        <v>12.9</v>
      </c>
      <c r="P65" s="50">
        <v>10.7</v>
      </c>
      <c r="Q65" s="50">
        <v>37.4</v>
      </c>
      <c r="R65" s="50">
        <v>40.1</v>
      </c>
      <c r="S65" s="50">
        <v>28.7</v>
      </c>
      <c r="T65" s="50">
        <v>48</v>
      </c>
      <c r="U65" s="50">
        <v>11.13</v>
      </c>
      <c r="V65" s="50">
        <v>64.5</v>
      </c>
      <c r="W65" s="50">
        <v>52</v>
      </c>
      <c r="X65" s="50">
        <v>437</v>
      </c>
      <c r="Y65" s="50">
        <v>11.68</v>
      </c>
      <c r="Z65" s="50">
        <v>30</v>
      </c>
      <c r="AA65" s="50">
        <v>5.73</v>
      </c>
      <c r="AB65" s="50"/>
      <c r="AC65" s="50"/>
      <c r="AD65" s="50"/>
      <c r="AE65" s="50"/>
      <c r="AF65" s="50"/>
      <c r="AG65" s="50"/>
      <c r="AH65" s="50"/>
      <c r="AI65" s="50"/>
      <c r="AJ65" s="50"/>
    </row>
    <row r="66" spans="1:36" ht="15" customHeight="1" x14ac:dyDescent="0.25">
      <c r="A66" s="50">
        <v>13</v>
      </c>
      <c r="B66" s="50" t="s">
        <v>923</v>
      </c>
      <c r="C66" s="50" t="s">
        <v>1352</v>
      </c>
      <c r="D66" s="50">
        <v>36</v>
      </c>
      <c r="E66" s="50" t="s">
        <v>1360</v>
      </c>
      <c r="F66" s="50">
        <v>21</v>
      </c>
      <c r="G66" s="50">
        <v>4.7</v>
      </c>
      <c r="H66" s="50">
        <v>39</v>
      </c>
      <c r="I66" s="50">
        <v>2.56</v>
      </c>
      <c r="J66" s="50">
        <v>109</v>
      </c>
      <c r="K66" s="50">
        <v>71</v>
      </c>
      <c r="L66" s="50">
        <v>4.99</v>
      </c>
      <c r="M66" s="50">
        <v>4.01</v>
      </c>
      <c r="N66" s="50">
        <v>35</v>
      </c>
      <c r="O66" s="50">
        <v>11.9</v>
      </c>
      <c r="P66" s="50">
        <v>10</v>
      </c>
      <c r="Q66" s="50">
        <v>36.299999999999997</v>
      </c>
      <c r="R66" s="50">
        <v>48.4</v>
      </c>
      <c r="S66" s="50">
        <v>31.4</v>
      </c>
      <c r="T66" s="50">
        <v>57</v>
      </c>
      <c r="U66" s="50">
        <v>10.19</v>
      </c>
      <c r="V66" s="50">
        <v>65.5</v>
      </c>
      <c r="W66" s="50">
        <v>57</v>
      </c>
      <c r="X66" s="50">
        <v>444</v>
      </c>
      <c r="Y66" s="50">
        <v>10.43</v>
      </c>
      <c r="Z66" s="50">
        <v>31.3</v>
      </c>
      <c r="AA66" s="50">
        <v>5.53</v>
      </c>
      <c r="AB66" s="50"/>
      <c r="AC66" s="50"/>
      <c r="AD66" s="50"/>
      <c r="AE66" s="50"/>
      <c r="AF66" s="50"/>
      <c r="AG66" s="50"/>
      <c r="AH66" s="50"/>
      <c r="AI66" s="50"/>
      <c r="AJ66" s="50"/>
    </row>
    <row r="67" spans="1:36" ht="15" customHeight="1" x14ac:dyDescent="0.25">
      <c r="A67" s="50">
        <v>14</v>
      </c>
      <c r="B67" s="50" t="s">
        <v>923</v>
      </c>
      <c r="C67" s="50" t="s">
        <v>1357</v>
      </c>
      <c r="D67" s="50">
        <v>43</v>
      </c>
      <c r="E67" s="50" t="s">
        <v>1359</v>
      </c>
      <c r="F67" s="50">
        <v>0</v>
      </c>
      <c r="G67" s="50">
        <v>6.6</v>
      </c>
      <c r="H67" s="50">
        <v>57</v>
      </c>
      <c r="I67" s="50">
        <v>2.4500000000000002</v>
      </c>
      <c r="J67" s="50">
        <v>117</v>
      </c>
      <c r="K67" s="50">
        <v>100</v>
      </c>
      <c r="L67" s="50">
        <v>6.46</v>
      </c>
      <c r="M67" s="50">
        <v>6.35</v>
      </c>
      <c r="N67" s="50">
        <v>55</v>
      </c>
      <c r="O67" s="50">
        <v>10.199999999999999</v>
      </c>
      <c r="P67" s="50">
        <v>11.3</v>
      </c>
      <c r="Q67" s="50">
        <v>45.5</v>
      </c>
      <c r="R67" s="50">
        <v>40.1</v>
      </c>
      <c r="S67" s="50">
        <v>19.899999999999999</v>
      </c>
      <c r="T67" s="50">
        <v>35</v>
      </c>
      <c r="U67" s="50">
        <v>6.36</v>
      </c>
      <c r="V67" s="50">
        <v>56.9</v>
      </c>
      <c r="W67" s="50">
        <v>66</v>
      </c>
      <c r="X67" s="50">
        <v>365</v>
      </c>
      <c r="Y67" s="50">
        <v>14.43</v>
      </c>
      <c r="Z67" s="50">
        <v>22.6</v>
      </c>
      <c r="AA67" s="50">
        <v>5.56</v>
      </c>
      <c r="AB67" s="50"/>
      <c r="AC67" s="50"/>
      <c r="AD67" s="50"/>
      <c r="AE67" s="50"/>
      <c r="AF67" s="50"/>
      <c r="AG67" s="50"/>
      <c r="AH67" s="50"/>
      <c r="AI67" s="50"/>
      <c r="AJ67" s="50"/>
    </row>
    <row r="68" spans="1:36" ht="15" customHeight="1" x14ac:dyDescent="0.25">
      <c r="A68" s="50">
        <v>14</v>
      </c>
      <c r="B68" s="50" t="s">
        <v>923</v>
      </c>
      <c r="C68" s="50" t="s">
        <v>1357</v>
      </c>
      <c r="D68" s="50">
        <v>43</v>
      </c>
      <c r="E68" s="50" t="s">
        <v>1359</v>
      </c>
      <c r="F68" s="50">
        <v>4</v>
      </c>
      <c r="G68" s="50">
        <v>6.3</v>
      </c>
      <c r="H68" s="50">
        <v>56</v>
      </c>
      <c r="I68" s="50">
        <v>2.38</v>
      </c>
      <c r="J68" s="50">
        <v>120</v>
      </c>
      <c r="K68" s="50">
        <v>94</v>
      </c>
      <c r="L68" s="50">
        <v>6.15</v>
      </c>
      <c r="M68" s="50">
        <v>5.92</v>
      </c>
      <c r="N68" s="50">
        <v>54</v>
      </c>
      <c r="O68" s="50">
        <v>9.4</v>
      </c>
      <c r="P68" s="50">
        <v>11.1</v>
      </c>
      <c r="Q68" s="50">
        <v>45.7</v>
      </c>
      <c r="R68" s="50">
        <v>41.1</v>
      </c>
      <c r="S68" s="50">
        <v>21.9</v>
      </c>
      <c r="T68" s="50">
        <v>36</v>
      </c>
      <c r="U68" s="50">
        <v>6.73</v>
      </c>
      <c r="V68" s="50">
        <v>57.1</v>
      </c>
      <c r="W68" s="50">
        <v>66</v>
      </c>
      <c r="X68" s="50">
        <v>366</v>
      </c>
      <c r="Y68" s="50">
        <v>13.91</v>
      </c>
      <c r="Z68" s="50">
        <v>24.3</v>
      </c>
      <c r="AA68" s="50">
        <v>5.48</v>
      </c>
      <c r="AB68" s="50"/>
      <c r="AC68" s="50"/>
      <c r="AD68" s="50"/>
      <c r="AE68" s="50"/>
      <c r="AF68" s="50"/>
      <c r="AG68" s="50"/>
      <c r="AH68" s="50"/>
      <c r="AI68" s="50"/>
      <c r="AJ68" s="50"/>
    </row>
    <row r="69" spans="1:36" ht="15" customHeight="1" x14ac:dyDescent="0.25">
      <c r="A69" s="50">
        <v>14</v>
      </c>
      <c r="B69" s="50" t="s">
        <v>923</v>
      </c>
      <c r="C69" s="50" t="s">
        <v>1357</v>
      </c>
      <c r="D69" s="50">
        <v>43</v>
      </c>
      <c r="E69" s="50" t="s">
        <v>1359</v>
      </c>
      <c r="F69" s="50">
        <v>8</v>
      </c>
      <c r="G69" s="50">
        <v>5.5</v>
      </c>
      <c r="H69" s="50">
        <v>52</v>
      </c>
      <c r="I69" s="50">
        <v>2.2200000000000002</v>
      </c>
      <c r="J69" s="50">
        <v>123</v>
      </c>
      <c r="K69" s="50">
        <v>89</v>
      </c>
      <c r="L69" s="50">
        <v>5.41</v>
      </c>
      <c r="M69" s="50">
        <v>5.4</v>
      </c>
      <c r="N69" s="50">
        <v>46</v>
      </c>
      <c r="O69" s="50">
        <v>8.6999999999999993</v>
      </c>
      <c r="P69" s="50">
        <v>11.1</v>
      </c>
      <c r="Q69" s="50">
        <v>43.3</v>
      </c>
      <c r="R69" s="50">
        <v>47.1</v>
      </c>
      <c r="S69" s="50">
        <v>23.3</v>
      </c>
      <c r="T69" s="50">
        <v>43</v>
      </c>
      <c r="U69" s="50">
        <v>5.58</v>
      </c>
      <c r="V69" s="50">
        <v>59.9</v>
      </c>
      <c r="W69" s="50">
        <v>70</v>
      </c>
      <c r="X69" s="50">
        <v>409</v>
      </c>
      <c r="Y69" s="50">
        <v>13.66</v>
      </c>
      <c r="Z69" s="50">
        <v>26.4</v>
      </c>
      <c r="AA69" s="50">
        <v>5.72</v>
      </c>
      <c r="AB69" s="50"/>
      <c r="AC69" s="50"/>
      <c r="AD69" s="50"/>
      <c r="AE69" s="50"/>
      <c r="AF69" s="50"/>
      <c r="AG69" s="50"/>
      <c r="AH69" s="50"/>
      <c r="AI69" s="50"/>
      <c r="AJ69" s="50"/>
    </row>
    <row r="70" spans="1:36" ht="15" customHeight="1" x14ac:dyDescent="0.25">
      <c r="A70" s="50">
        <v>14</v>
      </c>
      <c r="B70" s="50" t="s">
        <v>923</v>
      </c>
      <c r="C70" s="50" t="s">
        <v>1357</v>
      </c>
      <c r="D70" s="50">
        <v>43</v>
      </c>
      <c r="E70" s="50" t="s">
        <v>1359</v>
      </c>
      <c r="F70" s="50">
        <v>12</v>
      </c>
      <c r="G70" s="50">
        <v>5.3</v>
      </c>
      <c r="H70" s="50">
        <v>52</v>
      </c>
      <c r="I70" s="50">
        <v>2.14</v>
      </c>
      <c r="J70" s="50">
        <v>125</v>
      </c>
      <c r="K70" s="50">
        <v>83</v>
      </c>
      <c r="L70" s="50">
        <v>5.2</v>
      </c>
      <c r="M70" s="50">
        <v>5.38</v>
      </c>
      <c r="N70" s="50">
        <v>47</v>
      </c>
      <c r="O70" s="50">
        <v>8.3000000000000007</v>
      </c>
      <c r="P70" s="50">
        <v>10.6</v>
      </c>
      <c r="Q70" s="50">
        <v>39.200000000000003</v>
      </c>
      <c r="R70" s="50">
        <v>50.5</v>
      </c>
      <c r="S70" s="50">
        <v>24.6</v>
      </c>
      <c r="T70" s="50">
        <v>41</v>
      </c>
      <c r="U70" s="50">
        <v>6.13</v>
      </c>
      <c r="V70" s="50">
        <v>61.2</v>
      </c>
      <c r="W70" s="50">
        <v>68</v>
      </c>
      <c r="X70" s="50">
        <v>414</v>
      </c>
      <c r="Y70" s="50">
        <v>13.11</v>
      </c>
      <c r="Z70" s="50">
        <v>28.1</v>
      </c>
      <c r="AA70" s="50">
        <v>5.88</v>
      </c>
      <c r="AB70" s="50"/>
      <c r="AC70" s="50"/>
      <c r="AD70" s="50"/>
      <c r="AE70" s="50"/>
      <c r="AF70" s="50"/>
      <c r="AG70" s="50"/>
      <c r="AH70" s="50"/>
      <c r="AI70" s="50"/>
      <c r="AJ70" s="50"/>
    </row>
    <row r="71" spans="1:36" ht="15" customHeight="1" x14ac:dyDescent="0.25">
      <c r="A71" s="50">
        <v>14</v>
      </c>
      <c r="B71" s="50" t="s">
        <v>923</v>
      </c>
      <c r="C71" s="50" t="s">
        <v>1357</v>
      </c>
      <c r="D71" s="50">
        <v>43</v>
      </c>
      <c r="E71" s="50" t="s">
        <v>1359</v>
      </c>
      <c r="F71" s="50">
        <v>21</v>
      </c>
      <c r="G71" s="50">
        <v>4.5999999999999996</v>
      </c>
      <c r="H71" s="50">
        <v>46</v>
      </c>
      <c r="I71" s="50">
        <v>1.81</v>
      </c>
      <c r="J71" s="50">
        <v>135</v>
      </c>
      <c r="K71" s="50">
        <v>71</v>
      </c>
      <c r="L71" s="50">
        <v>4.78</v>
      </c>
      <c r="M71" s="50">
        <v>4.49</v>
      </c>
      <c r="N71" s="50">
        <v>41</v>
      </c>
      <c r="O71" s="50">
        <v>8.9</v>
      </c>
      <c r="P71" s="50">
        <v>8.5</v>
      </c>
      <c r="Q71" s="50">
        <v>34.9</v>
      </c>
      <c r="R71" s="50">
        <v>52</v>
      </c>
      <c r="S71" s="50">
        <v>29.5</v>
      </c>
      <c r="T71" s="50">
        <v>49</v>
      </c>
      <c r="U71" s="50">
        <v>4.68</v>
      </c>
      <c r="V71" s="50">
        <v>62.7</v>
      </c>
      <c r="W71" s="50">
        <v>71</v>
      </c>
      <c r="X71" s="50">
        <v>445</v>
      </c>
      <c r="Y71" s="50">
        <v>12.39</v>
      </c>
      <c r="Z71" s="50">
        <v>30.1</v>
      </c>
      <c r="AA71" s="50">
        <v>6.06</v>
      </c>
      <c r="AB71" s="50"/>
      <c r="AC71" s="50"/>
      <c r="AD71" s="50"/>
      <c r="AE71" s="50"/>
      <c r="AF71" s="50"/>
      <c r="AG71" s="50"/>
      <c r="AH71" s="50"/>
      <c r="AI71" s="50"/>
      <c r="AJ71" s="50"/>
    </row>
    <row r="72" spans="1:36" ht="15" customHeight="1" x14ac:dyDescent="0.25">
      <c r="A72" s="50">
        <v>15</v>
      </c>
      <c r="B72" s="50" t="s">
        <v>923</v>
      </c>
      <c r="C72" s="50" t="s">
        <v>1352</v>
      </c>
      <c r="D72" s="50">
        <v>46</v>
      </c>
      <c r="E72" s="50" t="s">
        <v>1359</v>
      </c>
      <c r="F72" s="50">
        <v>0</v>
      </c>
      <c r="G72" s="50">
        <v>6.9</v>
      </c>
      <c r="H72" s="50">
        <v>45</v>
      </c>
      <c r="I72" s="50">
        <v>3.15</v>
      </c>
      <c r="J72" s="50">
        <v>91</v>
      </c>
      <c r="K72" s="50">
        <v>100</v>
      </c>
      <c r="L72" s="50">
        <v>5.93</v>
      </c>
      <c r="M72" s="50">
        <v>7.08</v>
      </c>
      <c r="N72" s="50">
        <v>46</v>
      </c>
      <c r="O72" s="50">
        <v>14.4</v>
      </c>
      <c r="P72" s="50">
        <v>9.4</v>
      </c>
      <c r="Q72" s="50">
        <v>58.4</v>
      </c>
      <c r="R72" s="50">
        <v>36.4</v>
      </c>
      <c r="S72" s="50">
        <v>20.399999999999999</v>
      </c>
      <c r="T72" s="50">
        <v>49</v>
      </c>
      <c r="U72" s="50">
        <v>6.62</v>
      </c>
      <c r="V72" s="50">
        <v>59.7</v>
      </c>
      <c r="W72" s="50">
        <v>40</v>
      </c>
      <c r="X72" s="50">
        <v>359</v>
      </c>
      <c r="Y72" s="50">
        <v>18.59</v>
      </c>
      <c r="Z72" s="50">
        <v>31.2</v>
      </c>
      <c r="AA72" s="50">
        <v>5.88</v>
      </c>
      <c r="AB72" s="50"/>
      <c r="AC72" s="50"/>
      <c r="AD72" s="50"/>
      <c r="AE72" s="50"/>
      <c r="AF72" s="50"/>
      <c r="AG72" s="50"/>
      <c r="AH72" s="50"/>
      <c r="AI72" s="50"/>
      <c r="AJ72" s="50"/>
    </row>
    <row r="73" spans="1:36" ht="15" customHeight="1" x14ac:dyDescent="0.25">
      <c r="A73" s="50">
        <v>15</v>
      </c>
      <c r="B73" s="50" t="s">
        <v>923</v>
      </c>
      <c r="C73" s="50" t="s">
        <v>1352</v>
      </c>
      <c r="D73" s="50">
        <v>46</v>
      </c>
      <c r="E73" s="50" t="s">
        <v>1359</v>
      </c>
      <c r="F73" s="50">
        <v>4</v>
      </c>
      <c r="G73" s="50">
        <v>6.4</v>
      </c>
      <c r="H73" s="50">
        <v>42</v>
      </c>
      <c r="I73" s="50">
        <v>2.97</v>
      </c>
      <c r="J73" s="50">
        <v>96</v>
      </c>
      <c r="K73" s="50">
        <v>94</v>
      </c>
      <c r="L73" s="50">
        <v>5.47</v>
      </c>
      <c r="M73" s="50">
        <v>6.72</v>
      </c>
      <c r="N73" s="50">
        <v>45</v>
      </c>
      <c r="O73" s="50">
        <v>13.5</v>
      </c>
      <c r="P73" s="50">
        <v>10.4</v>
      </c>
      <c r="Q73" s="50">
        <v>55.2</v>
      </c>
      <c r="R73" s="50">
        <v>39</v>
      </c>
      <c r="S73" s="50">
        <v>21.8</v>
      </c>
      <c r="T73" s="50">
        <v>50</v>
      </c>
      <c r="U73" s="50">
        <v>6.81</v>
      </c>
      <c r="V73" s="50">
        <v>62.2</v>
      </c>
      <c r="W73" s="50">
        <v>43</v>
      </c>
      <c r="X73" s="50">
        <v>374</v>
      </c>
      <c r="Y73" s="50">
        <v>17.600000000000001</v>
      </c>
      <c r="Z73" s="50">
        <v>31.8</v>
      </c>
      <c r="AA73" s="50">
        <v>5.8</v>
      </c>
      <c r="AB73" s="50"/>
      <c r="AC73" s="50"/>
      <c r="AD73" s="50"/>
      <c r="AE73" s="50"/>
      <c r="AF73" s="50"/>
      <c r="AG73" s="50"/>
      <c r="AH73" s="50"/>
      <c r="AI73" s="50"/>
      <c r="AJ73" s="50"/>
    </row>
    <row r="74" spans="1:36" ht="15" customHeight="1" x14ac:dyDescent="0.25">
      <c r="A74" s="50">
        <v>15</v>
      </c>
      <c r="B74" s="50" t="s">
        <v>923</v>
      </c>
      <c r="C74" s="50" t="s">
        <v>1352</v>
      </c>
      <c r="D74" s="50">
        <v>46</v>
      </c>
      <c r="E74" s="50" t="s">
        <v>1359</v>
      </c>
      <c r="F74" s="50">
        <v>8</v>
      </c>
      <c r="G74" s="50">
        <v>5.8</v>
      </c>
      <c r="H74" s="50">
        <v>43</v>
      </c>
      <c r="I74" s="50">
        <v>2.81</v>
      </c>
      <c r="J74" s="50">
        <v>98</v>
      </c>
      <c r="K74" s="50">
        <v>89</v>
      </c>
      <c r="L74" s="50">
        <v>5.13</v>
      </c>
      <c r="M74" s="50">
        <v>6.27</v>
      </c>
      <c r="N74" s="50">
        <v>44</v>
      </c>
      <c r="O74" s="50">
        <v>13.8</v>
      </c>
      <c r="P74" s="50">
        <v>10.4</v>
      </c>
      <c r="Q74" s="50">
        <v>53.2</v>
      </c>
      <c r="R74" s="50">
        <v>41.5</v>
      </c>
      <c r="S74" s="50">
        <v>24.8</v>
      </c>
      <c r="T74" s="50">
        <v>55</v>
      </c>
      <c r="U74" s="50">
        <v>5.84</v>
      </c>
      <c r="V74" s="50">
        <v>63.3</v>
      </c>
      <c r="W74" s="50">
        <v>46</v>
      </c>
      <c r="X74" s="50">
        <v>390</v>
      </c>
      <c r="Y74" s="50">
        <v>17.32</v>
      </c>
      <c r="Z74" s="50">
        <v>34.6</v>
      </c>
      <c r="AA74" s="50">
        <v>5.97</v>
      </c>
      <c r="AB74" s="50"/>
      <c r="AC74" s="50"/>
      <c r="AD74" s="50"/>
      <c r="AE74" s="50"/>
      <c r="AF74" s="50"/>
      <c r="AG74" s="50"/>
      <c r="AH74" s="50"/>
      <c r="AI74" s="50"/>
      <c r="AJ74" s="50"/>
    </row>
    <row r="75" spans="1:36" ht="15" customHeight="1" x14ac:dyDescent="0.25">
      <c r="A75" s="50">
        <v>15</v>
      </c>
      <c r="B75" s="50" t="s">
        <v>923</v>
      </c>
      <c r="C75" s="50" t="s">
        <v>1352</v>
      </c>
      <c r="D75" s="50">
        <v>46</v>
      </c>
      <c r="E75" s="50" t="s">
        <v>1359</v>
      </c>
      <c r="F75" s="50">
        <v>12</v>
      </c>
      <c r="G75" s="50">
        <v>5.5</v>
      </c>
      <c r="H75" s="50">
        <v>40</v>
      </c>
      <c r="I75" s="50">
        <v>2.64</v>
      </c>
      <c r="J75" s="50">
        <v>102</v>
      </c>
      <c r="K75" s="50">
        <v>83</v>
      </c>
      <c r="L75" s="50">
        <v>5.03</v>
      </c>
      <c r="M75" s="50">
        <v>6.07</v>
      </c>
      <c r="N75" s="50">
        <v>41</v>
      </c>
      <c r="O75" s="50">
        <v>13.4</v>
      </c>
      <c r="P75" s="50">
        <v>9.3000000000000007</v>
      </c>
      <c r="Q75" s="50">
        <v>52.4</v>
      </c>
      <c r="R75" s="50">
        <v>44.1</v>
      </c>
      <c r="S75" s="50">
        <v>25.4</v>
      </c>
      <c r="T75" s="50">
        <v>58</v>
      </c>
      <c r="U75" s="50">
        <v>6.12</v>
      </c>
      <c r="V75" s="50">
        <v>65</v>
      </c>
      <c r="W75" s="50">
        <v>46</v>
      </c>
      <c r="X75" s="50">
        <v>410</v>
      </c>
      <c r="Y75" s="50">
        <v>16.41</v>
      </c>
      <c r="Z75" s="50">
        <v>33.4</v>
      </c>
      <c r="AA75" s="50">
        <v>6.09</v>
      </c>
      <c r="AB75" s="50"/>
      <c r="AC75" s="50"/>
      <c r="AD75" s="50"/>
      <c r="AE75" s="50"/>
      <c r="AF75" s="50"/>
      <c r="AG75" s="50"/>
      <c r="AH75" s="50"/>
      <c r="AI75" s="50"/>
      <c r="AJ75" s="50"/>
    </row>
    <row r="76" spans="1:36" ht="15" customHeight="1" x14ac:dyDescent="0.25">
      <c r="A76" s="50">
        <v>15</v>
      </c>
      <c r="B76" s="50" t="s">
        <v>923</v>
      </c>
      <c r="C76" s="50" t="s">
        <v>1352</v>
      </c>
      <c r="D76" s="50">
        <v>46</v>
      </c>
      <c r="E76" s="50" t="s">
        <v>1359</v>
      </c>
      <c r="F76" s="50">
        <v>21</v>
      </c>
      <c r="G76" s="50">
        <v>4.5999999999999996</v>
      </c>
      <c r="H76" s="50">
        <v>34</v>
      </c>
      <c r="I76" s="50">
        <v>2.31</v>
      </c>
      <c r="J76" s="50">
        <v>108</v>
      </c>
      <c r="K76" s="50">
        <v>71</v>
      </c>
      <c r="L76" s="50">
        <v>4.1900000000000004</v>
      </c>
      <c r="M76" s="50">
        <v>5.7</v>
      </c>
      <c r="N76" s="50">
        <v>38</v>
      </c>
      <c r="O76" s="50">
        <v>11.5</v>
      </c>
      <c r="P76" s="50">
        <v>8.1999999999999993</v>
      </c>
      <c r="Q76" s="50">
        <v>43.5</v>
      </c>
      <c r="R76" s="50">
        <v>51.7</v>
      </c>
      <c r="S76" s="50">
        <v>28.8</v>
      </c>
      <c r="T76" s="50">
        <v>62</v>
      </c>
      <c r="U76" s="50">
        <v>4.5</v>
      </c>
      <c r="V76" s="50">
        <v>65.400000000000006</v>
      </c>
      <c r="W76" s="50">
        <v>54</v>
      </c>
      <c r="X76" s="50">
        <v>429</v>
      </c>
      <c r="Y76" s="50">
        <v>14.66</v>
      </c>
      <c r="Z76" s="50">
        <v>38.299999999999997</v>
      </c>
      <c r="AA76" s="50">
        <v>6.15</v>
      </c>
      <c r="AB76" s="50"/>
      <c r="AC76" s="50"/>
      <c r="AD76" s="50"/>
      <c r="AE76" s="50"/>
      <c r="AF76" s="50"/>
      <c r="AG76" s="50"/>
      <c r="AH76" s="50"/>
      <c r="AI76" s="50"/>
      <c r="AJ76" s="50"/>
    </row>
    <row r="77" spans="1:36" ht="15" customHeight="1" x14ac:dyDescent="0.25">
      <c r="A77" s="50">
        <v>16</v>
      </c>
      <c r="B77" s="50" t="s">
        <v>923</v>
      </c>
      <c r="C77" s="50" t="s">
        <v>1357</v>
      </c>
      <c r="D77" s="50">
        <v>52</v>
      </c>
      <c r="E77" s="50" t="s">
        <v>1353</v>
      </c>
      <c r="F77" s="50">
        <v>0</v>
      </c>
      <c r="G77" s="50">
        <v>5.8</v>
      </c>
      <c r="H77" s="50">
        <v>56</v>
      </c>
      <c r="I77" s="50">
        <v>3.44</v>
      </c>
      <c r="J77" s="50">
        <v>113</v>
      </c>
      <c r="K77" s="50">
        <v>100</v>
      </c>
      <c r="L77" s="50">
        <v>7.27</v>
      </c>
      <c r="M77" s="50">
        <v>6.65</v>
      </c>
      <c r="N77" s="50">
        <v>53</v>
      </c>
      <c r="O77" s="50">
        <v>15</v>
      </c>
      <c r="P77" s="50">
        <v>7.2</v>
      </c>
      <c r="Q77" s="50">
        <v>42.5</v>
      </c>
      <c r="R77" s="50">
        <v>32.799999999999997</v>
      </c>
      <c r="S77" s="50">
        <v>19.600000000000001</v>
      </c>
      <c r="T77" s="50">
        <v>45</v>
      </c>
      <c r="U77" s="50">
        <v>6.06</v>
      </c>
      <c r="V77" s="50">
        <v>51.6</v>
      </c>
      <c r="W77" s="50">
        <v>40</v>
      </c>
      <c r="X77" s="50">
        <v>303</v>
      </c>
      <c r="Y77" s="50">
        <v>15.38</v>
      </c>
      <c r="Z77" s="50">
        <v>24.2</v>
      </c>
      <c r="AA77" s="50">
        <v>4.87</v>
      </c>
      <c r="AB77" s="50"/>
      <c r="AC77" s="50"/>
      <c r="AD77" s="50"/>
      <c r="AE77" s="50"/>
      <c r="AF77" s="50"/>
      <c r="AG77" s="50"/>
      <c r="AH77" s="50"/>
      <c r="AI77" s="50"/>
      <c r="AJ77" s="50"/>
    </row>
    <row r="78" spans="1:36" ht="15" customHeight="1" x14ac:dyDescent="0.25">
      <c r="A78" s="50">
        <v>16</v>
      </c>
      <c r="B78" s="50" t="s">
        <v>923</v>
      </c>
      <c r="C78" s="50" t="s">
        <v>1357</v>
      </c>
      <c r="D78" s="50">
        <v>52</v>
      </c>
      <c r="E78" s="50" t="s">
        <v>1353</v>
      </c>
      <c r="F78" s="50">
        <v>4</v>
      </c>
      <c r="G78" s="50">
        <v>5.5</v>
      </c>
      <c r="H78" s="50">
        <v>56</v>
      </c>
      <c r="I78" s="50">
        <v>3.22</v>
      </c>
      <c r="J78" s="50">
        <v>115</v>
      </c>
      <c r="K78" s="50">
        <v>94</v>
      </c>
      <c r="L78" s="50">
        <v>7.07</v>
      </c>
      <c r="M78" s="50">
        <v>6.61</v>
      </c>
      <c r="N78" s="50">
        <v>51</v>
      </c>
      <c r="O78" s="50">
        <v>15.6</v>
      </c>
      <c r="P78" s="50">
        <v>6.8</v>
      </c>
      <c r="Q78" s="50">
        <v>41.4</v>
      </c>
      <c r="R78" s="50">
        <v>36</v>
      </c>
      <c r="S78" s="50">
        <v>23.5</v>
      </c>
      <c r="T78" s="50">
        <v>48</v>
      </c>
      <c r="U78" s="50">
        <v>6.81</v>
      </c>
      <c r="V78" s="50">
        <v>53.9</v>
      </c>
      <c r="W78" s="50">
        <v>42</v>
      </c>
      <c r="X78" s="50">
        <v>324</v>
      </c>
      <c r="Y78" s="50">
        <v>14.82</v>
      </c>
      <c r="Z78" s="50">
        <v>24.8</v>
      </c>
      <c r="AA78" s="50">
        <v>4.88</v>
      </c>
      <c r="AB78" s="50"/>
      <c r="AC78" s="50"/>
      <c r="AD78" s="50"/>
      <c r="AE78" s="50"/>
      <c r="AF78" s="50"/>
      <c r="AG78" s="50"/>
      <c r="AH78" s="50"/>
      <c r="AI78" s="50"/>
      <c r="AJ78" s="50"/>
    </row>
    <row r="79" spans="1:36" ht="15" customHeight="1" x14ac:dyDescent="0.25">
      <c r="A79" s="50">
        <v>16</v>
      </c>
      <c r="B79" s="50" t="s">
        <v>923</v>
      </c>
      <c r="C79" s="50" t="s">
        <v>1357</v>
      </c>
      <c r="D79" s="50">
        <v>52</v>
      </c>
      <c r="E79" s="50" t="s">
        <v>1353</v>
      </c>
      <c r="F79" s="50">
        <v>8</v>
      </c>
      <c r="G79" s="50">
        <v>5.2</v>
      </c>
      <c r="H79" s="50">
        <v>53</v>
      </c>
      <c r="I79" s="50">
        <v>3.13</v>
      </c>
      <c r="J79" s="50">
        <v>116</v>
      </c>
      <c r="K79" s="50">
        <v>89</v>
      </c>
      <c r="L79" s="50">
        <v>6.69</v>
      </c>
      <c r="M79" s="50">
        <v>6.33</v>
      </c>
      <c r="N79" s="50">
        <v>47</v>
      </c>
      <c r="O79" s="50">
        <v>14.9</v>
      </c>
      <c r="P79" s="50">
        <v>6.9</v>
      </c>
      <c r="Q79" s="50">
        <v>40.4</v>
      </c>
      <c r="R79" s="50">
        <v>38.200000000000003</v>
      </c>
      <c r="S79" s="50">
        <v>23.3</v>
      </c>
      <c r="T79" s="50">
        <v>50</v>
      </c>
      <c r="U79" s="50">
        <v>6.92</v>
      </c>
      <c r="V79" s="50">
        <v>55.2</v>
      </c>
      <c r="W79" s="50">
        <v>48</v>
      </c>
      <c r="X79" s="50">
        <v>321</v>
      </c>
      <c r="Y79" s="50">
        <v>13.88</v>
      </c>
      <c r="Z79" s="50">
        <v>26</v>
      </c>
      <c r="AA79" s="50">
        <v>5.22</v>
      </c>
      <c r="AB79" s="50"/>
      <c r="AC79" s="50"/>
      <c r="AD79" s="50"/>
      <c r="AE79" s="50"/>
      <c r="AF79" s="50"/>
      <c r="AG79" s="50"/>
      <c r="AH79" s="50"/>
      <c r="AI79" s="50"/>
      <c r="AJ79" s="50"/>
    </row>
    <row r="80" spans="1:36" ht="15" customHeight="1" x14ac:dyDescent="0.25">
      <c r="A80" s="50">
        <v>16</v>
      </c>
      <c r="B80" s="50" t="s">
        <v>923</v>
      </c>
      <c r="C80" s="50" t="s">
        <v>1357</v>
      </c>
      <c r="D80" s="50">
        <v>52</v>
      </c>
      <c r="E80" s="50" t="s">
        <v>1353</v>
      </c>
      <c r="F80" s="50">
        <v>12</v>
      </c>
      <c r="G80" s="50">
        <v>4.5</v>
      </c>
      <c r="H80" s="50">
        <v>52</v>
      </c>
      <c r="I80" s="50">
        <v>2.95</v>
      </c>
      <c r="J80" s="50">
        <v>120</v>
      </c>
      <c r="K80" s="50">
        <v>83</v>
      </c>
      <c r="L80" s="50">
        <v>5.67</v>
      </c>
      <c r="M80" s="50">
        <v>5.6</v>
      </c>
      <c r="N80" s="50">
        <v>42</v>
      </c>
      <c r="O80" s="50">
        <v>14.7</v>
      </c>
      <c r="P80" s="50">
        <v>7.7</v>
      </c>
      <c r="Q80" s="50">
        <v>40.200000000000003</v>
      </c>
      <c r="R80" s="50">
        <v>44.7</v>
      </c>
      <c r="S80" s="50">
        <v>28.2</v>
      </c>
      <c r="T80" s="50">
        <v>56</v>
      </c>
      <c r="U80" s="50">
        <v>5.83</v>
      </c>
      <c r="V80" s="50">
        <v>55.4</v>
      </c>
      <c r="W80" s="50">
        <v>52</v>
      </c>
      <c r="X80" s="50">
        <v>361</v>
      </c>
      <c r="Y80" s="50">
        <v>13.35</v>
      </c>
      <c r="Z80" s="50">
        <v>30.5</v>
      </c>
      <c r="AA80" s="50">
        <v>5.82</v>
      </c>
      <c r="AB80" s="50"/>
      <c r="AC80" s="50"/>
      <c r="AD80" s="50"/>
      <c r="AE80" s="50"/>
      <c r="AF80" s="50"/>
      <c r="AG80" s="50"/>
      <c r="AH80" s="50"/>
      <c r="AI80" s="50"/>
      <c r="AJ80" s="50"/>
    </row>
    <row r="81" spans="1:36" ht="15" customHeight="1" x14ac:dyDescent="0.25">
      <c r="A81" s="50">
        <v>16</v>
      </c>
      <c r="B81" s="50" t="s">
        <v>923</v>
      </c>
      <c r="C81" s="50" t="s">
        <v>1357</v>
      </c>
      <c r="D81" s="50">
        <v>52</v>
      </c>
      <c r="E81" s="50" t="s">
        <v>1353</v>
      </c>
      <c r="F81" s="50">
        <v>21</v>
      </c>
      <c r="G81" s="50">
        <v>4.0999999999999996</v>
      </c>
      <c r="H81" s="50">
        <v>46</v>
      </c>
      <c r="I81" s="50">
        <v>2.6</v>
      </c>
      <c r="J81" s="50">
        <v>127</v>
      </c>
      <c r="K81" s="50">
        <v>71</v>
      </c>
      <c r="L81" s="50">
        <v>5.25</v>
      </c>
      <c r="M81" s="50">
        <v>5.29</v>
      </c>
      <c r="N81" s="50">
        <v>41</v>
      </c>
      <c r="O81" s="50">
        <v>12.3</v>
      </c>
      <c r="P81" s="50">
        <v>6.8</v>
      </c>
      <c r="Q81" s="50">
        <v>36.6</v>
      </c>
      <c r="R81" s="50">
        <v>42.9</v>
      </c>
      <c r="S81" s="50">
        <v>28.7</v>
      </c>
      <c r="T81" s="50">
        <v>53</v>
      </c>
      <c r="U81" s="50">
        <v>5.89</v>
      </c>
      <c r="V81" s="50">
        <v>55.5</v>
      </c>
      <c r="W81" s="50">
        <v>54</v>
      </c>
      <c r="X81" s="50">
        <v>391</v>
      </c>
      <c r="Y81" s="50">
        <v>12.84</v>
      </c>
      <c r="Z81" s="50">
        <v>30.5</v>
      </c>
      <c r="AA81" s="50">
        <v>5.62</v>
      </c>
      <c r="AB81" s="50"/>
      <c r="AC81" s="50"/>
      <c r="AD81" s="50"/>
      <c r="AE81" s="50"/>
      <c r="AF81" s="50"/>
      <c r="AG81" s="50"/>
      <c r="AH81" s="50"/>
      <c r="AI81" s="50"/>
      <c r="AJ81" s="50"/>
    </row>
    <row r="82" spans="1:36" ht="15" customHeight="1" x14ac:dyDescent="0.25">
      <c r="A82" s="50">
        <v>17</v>
      </c>
      <c r="B82" s="50" t="s">
        <v>923</v>
      </c>
      <c r="C82" s="50" t="s">
        <v>1352</v>
      </c>
      <c r="D82" s="50">
        <v>48</v>
      </c>
      <c r="E82" s="50" t="s">
        <v>1359</v>
      </c>
      <c r="F82" s="50">
        <v>0</v>
      </c>
      <c r="G82" s="50">
        <v>6.9</v>
      </c>
      <c r="H82" s="50">
        <v>42</v>
      </c>
      <c r="I82" s="50">
        <v>4.8</v>
      </c>
      <c r="J82" s="50">
        <v>115</v>
      </c>
      <c r="K82" s="50">
        <v>100</v>
      </c>
      <c r="L82" s="50">
        <v>6.77</v>
      </c>
      <c r="M82" s="50">
        <v>6.95</v>
      </c>
      <c r="N82" s="50">
        <v>45</v>
      </c>
      <c r="O82" s="50">
        <v>13.9</v>
      </c>
      <c r="P82" s="50">
        <v>14</v>
      </c>
      <c r="Q82" s="50">
        <v>43.9</v>
      </c>
      <c r="R82" s="50">
        <v>34.200000000000003</v>
      </c>
      <c r="S82" s="50">
        <v>17.600000000000001</v>
      </c>
      <c r="T82" s="50">
        <v>36</v>
      </c>
      <c r="U82" s="50">
        <v>6.46</v>
      </c>
      <c r="V82" s="50">
        <v>59</v>
      </c>
      <c r="W82" s="50">
        <v>37</v>
      </c>
      <c r="X82" s="50">
        <v>439</v>
      </c>
      <c r="Y82" s="50">
        <v>11.4</v>
      </c>
      <c r="Z82" s="50">
        <v>20.2</v>
      </c>
      <c r="AA82" s="50">
        <v>4.37</v>
      </c>
      <c r="AB82" s="50"/>
      <c r="AC82" s="50"/>
      <c r="AD82" s="50"/>
      <c r="AE82" s="50"/>
      <c r="AF82" s="50"/>
      <c r="AG82" s="50"/>
      <c r="AH82" s="50"/>
      <c r="AI82" s="50"/>
      <c r="AJ82" s="50"/>
    </row>
    <row r="83" spans="1:36" ht="15" customHeight="1" x14ac:dyDescent="0.25">
      <c r="A83" s="50">
        <v>17</v>
      </c>
      <c r="B83" s="50" t="s">
        <v>923</v>
      </c>
      <c r="C83" s="50" t="s">
        <v>1352</v>
      </c>
      <c r="D83" s="50">
        <v>48</v>
      </c>
      <c r="E83" s="50" t="s">
        <v>1359</v>
      </c>
      <c r="F83" s="50">
        <v>4</v>
      </c>
      <c r="G83" s="50">
        <v>6.6</v>
      </c>
      <c r="H83" s="50">
        <v>39</v>
      </c>
      <c r="I83" s="50">
        <v>4.55</v>
      </c>
      <c r="J83" s="50">
        <v>119</v>
      </c>
      <c r="K83" s="50">
        <v>94</v>
      </c>
      <c r="L83" s="50">
        <v>6.46</v>
      </c>
      <c r="M83" s="50">
        <v>6.71</v>
      </c>
      <c r="N83" s="50">
        <v>42</v>
      </c>
      <c r="O83" s="50">
        <v>13.5</v>
      </c>
      <c r="P83" s="50">
        <v>13.5</v>
      </c>
      <c r="Q83" s="50">
        <v>44.4</v>
      </c>
      <c r="R83" s="50">
        <v>35.799999999999997</v>
      </c>
      <c r="S83" s="50">
        <v>16.3</v>
      </c>
      <c r="T83" s="50">
        <v>37</v>
      </c>
      <c r="U83" s="50">
        <v>7.29</v>
      </c>
      <c r="V83" s="50">
        <v>60.2</v>
      </c>
      <c r="W83" s="50">
        <v>37</v>
      </c>
      <c r="X83" s="50">
        <v>437</v>
      </c>
      <c r="Y83" s="50">
        <v>11.52</v>
      </c>
      <c r="Z83" s="50">
        <v>22.2</v>
      </c>
      <c r="AA83" s="50">
        <v>4.3</v>
      </c>
      <c r="AB83" s="50"/>
      <c r="AC83" s="50"/>
      <c r="AD83" s="50"/>
      <c r="AE83" s="50"/>
      <c r="AF83" s="50"/>
      <c r="AG83" s="50"/>
      <c r="AH83" s="50"/>
      <c r="AI83" s="50"/>
      <c r="AJ83" s="50"/>
    </row>
    <row r="84" spans="1:36" ht="15" customHeight="1" x14ac:dyDescent="0.25">
      <c r="A84" s="50">
        <v>17</v>
      </c>
      <c r="B84" s="50" t="s">
        <v>923</v>
      </c>
      <c r="C84" s="50" t="s">
        <v>1352</v>
      </c>
      <c r="D84" s="50">
        <v>48</v>
      </c>
      <c r="E84" s="50" t="s">
        <v>1359</v>
      </c>
      <c r="F84" s="50">
        <v>8</v>
      </c>
      <c r="G84" s="50">
        <v>6.3</v>
      </c>
      <c r="H84" s="50">
        <v>37</v>
      </c>
      <c r="I84" s="50">
        <v>4.2699999999999996</v>
      </c>
      <c r="J84" s="50">
        <v>116</v>
      </c>
      <c r="K84" s="50">
        <v>89</v>
      </c>
      <c r="L84" s="50">
        <v>6.29</v>
      </c>
      <c r="M84" s="50">
        <v>6.46</v>
      </c>
      <c r="N84" s="50">
        <v>40</v>
      </c>
      <c r="O84" s="50">
        <v>13.3</v>
      </c>
      <c r="P84" s="50">
        <v>12.2</v>
      </c>
      <c r="Q84" s="50">
        <v>42.2</v>
      </c>
      <c r="R84" s="50">
        <v>35</v>
      </c>
      <c r="S84" s="50">
        <v>19.2</v>
      </c>
      <c r="T84" s="50">
        <v>40</v>
      </c>
      <c r="U84" s="50">
        <v>7.5</v>
      </c>
      <c r="V84" s="50">
        <v>61.1</v>
      </c>
      <c r="W84" s="50">
        <v>42</v>
      </c>
      <c r="X84" s="50">
        <v>436</v>
      </c>
      <c r="Y84" s="50">
        <v>11.39</v>
      </c>
      <c r="Z84" s="50">
        <v>22.4</v>
      </c>
      <c r="AA84" s="50">
        <v>4.57</v>
      </c>
      <c r="AB84" s="50"/>
      <c r="AC84" s="50"/>
      <c r="AD84" s="50"/>
      <c r="AE84" s="50"/>
      <c r="AF84" s="50"/>
      <c r="AG84" s="50"/>
      <c r="AH84" s="50"/>
      <c r="AI84" s="50"/>
      <c r="AJ84" s="50"/>
    </row>
    <row r="85" spans="1:36" ht="15" customHeight="1" x14ac:dyDescent="0.25">
      <c r="A85" s="50">
        <v>17</v>
      </c>
      <c r="B85" s="50" t="s">
        <v>923</v>
      </c>
      <c r="C85" s="50" t="s">
        <v>1352</v>
      </c>
      <c r="D85" s="50">
        <v>48</v>
      </c>
      <c r="E85" s="50" t="s">
        <v>1359</v>
      </c>
      <c r="F85" s="50">
        <v>12</v>
      </c>
      <c r="G85" s="50">
        <v>5.9</v>
      </c>
      <c r="H85" s="50">
        <v>34</v>
      </c>
      <c r="I85" s="50">
        <v>4.09</v>
      </c>
      <c r="J85" s="50">
        <v>127</v>
      </c>
      <c r="K85" s="50">
        <v>83</v>
      </c>
      <c r="L85" s="50">
        <v>5.83</v>
      </c>
      <c r="M85" s="50">
        <v>5.97</v>
      </c>
      <c r="N85" s="50">
        <v>40</v>
      </c>
      <c r="O85" s="50">
        <v>11.8</v>
      </c>
      <c r="P85" s="50">
        <v>13.2</v>
      </c>
      <c r="Q85" s="50">
        <v>39.700000000000003</v>
      </c>
      <c r="R85" s="50">
        <v>40.299999999999997</v>
      </c>
      <c r="S85" s="50">
        <v>22</v>
      </c>
      <c r="T85" s="50">
        <v>44</v>
      </c>
      <c r="U85" s="50">
        <v>6.2</v>
      </c>
      <c r="V85" s="50">
        <v>62.4</v>
      </c>
      <c r="W85" s="50">
        <v>43</v>
      </c>
      <c r="X85" s="50">
        <v>460</v>
      </c>
      <c r="Y85" s="50">
        <v>11.06</v>
      </c>
      <c r="Z85" s="50">
        <v>24.3</v>
      </c>
      <c r="AA85" s="50">
        <v>4.71</v>
      </c>
      <c r="AB85" s="50"/>
      <c r="AC85" s="50"/>
      <c r="AD85" s="50"/>
      <c r="AE85" s="50"/>
      <c r="AF85" s="50"/>
      <c r="AG85" s="50"/>
      <c r="AH85" s="50"/>
      <c r="AI85" s="50"/>
      <c r="AJ85" s="50"/>
    </row>
    <row r="86" spans="1:36" ht="15" customHeight="1" x14ac:dyDescent="0.25">
      <c r="A86" s="50">
        <v>17</v>
      </c>
      <c r="B86" s="50" t="s">
        <v>923</v>
      </c>
      <c r="C86" s="50" t="s">
        <v>1352</v>
      </c>
      <c r="D86" s="50">
        <v>48</v>
      </c>
      <c r="E86" s="50" t="s">
        <v>1359</v>
      </c>
      <c r="F86" s="50">
        <v>21</v>
      </c>
      <c r="G86" s="50">
        <v>4.5</v>
      </c>
      <c r="H86" s="50">
        <v>30</v>
      </c>
      <c r="I86" s="50">
        <v>3.6</v>
      </c>
      <c r="J86" s="50">
        <v>130</v>
      </c>
      <c r="K86" s="50">
        <v>71</v>
      </c>
      <c r="L86" s="50">
        <v>5.12</v>
      </c>
      <c r="M86" s="50">
        <v>5.0199999999999996</v>
      </c>
      <c r="N86" s="50">
        <v>36</v>
      </c>
      <c r="O86" s="50">
        <v>10.199999999999999</v>
      </c>
      <c r="P86" s="50">
        <v>10.9</v>
      </c>
      <c r="Q86" s="50">
        <v>34.799999999999997</v>
      </c>
      <c r="R86" s="50">
        <v>45.1</v>
      </c>
      <c r="S86" s="50">
        <v>25.6</v>
      </c>
      <c r="T86" s="50">
        <v>56</v>
      </c>
      <c r="U86" s="50">
        <v>5.61</v>
      </c>
      <c r="V86" s="50">
        <v>67.099999999999994</v>
      </c>
      <c r="W86" s="50">
        <v>52</v>
      </c>
      <c r="X86" s="50">
        <v>483</v>
      </c>
      <c r="Y86" s="50">
        <v>10.25</v>
      </c>
      <c r="Z86" s="50">
        <v>30</v>
      </c>
      <c r="AA86" s="50">
        <v>4.57</v>
      </c>
      <c r="AB86" s="50"/>
      <c r="AC86" s="50"/>
      <c r="AD86" s="50"/>
      <c r="AE86" s="50"/>
      <c r="AF86" s="50"/>
      <c r="AG86" s="50"/>
      <c r="AH86" s="50"/>
      <c r="AI86" s="50"/>
      <c r="AJ86" s="50"/>
    </row>
    <row r="87" spans="1:36" ht="15" customHeight="1" x14ac:dyDescent="0.25">
      <c r="A87" s="50">
        <v>18</v>
      </c>
      <c r="B87" s="50" t="s">
        <v>923</v>
      </c>
      <c r="C87" s="50" t="s">
        <v>1352</v>
      </c>
      <c r="D87" s="50">
        <v>44</v>
      </c>
      <c r="E87" s="50" t="s">
        <v>1359</v>
      </c>
      <c r="F87" s="50">
        <v>0</v>
      </c>
      <c r="G87" s="50">
        <v>6.9</v>
      </c>
      <c r="H87" s="50">
        <v>49</v>
      </c>
      <c r="I87" s="50">
        <v>4</v>
      </c>
      <c r="J87" s="50">
        <v>82</v>
      </c>
      <c r="K87" s="50">
        <v>100</v>
      </c>
      <c r="L87" s="50">
        <v>6.22</v>
      </c>
      <c r="M87" s="50">
        <v>5.36</v>
      </c>
      <c r="N87" s="50">
        <v>43</v>
      </c>
      <c r="O87" s="50">
        <v>15.7</v>
      </c>
      <c r="P87" s="50">
        <v>11.4</v>
      </c>
      <c r="Q87" s="50">
        <v>55.9</v>
      </c>
      <c r="R87" s="50">
        <v>25.7</v>
      </c>
      <c r="S87" s="50">
        <v>19.399999999999999</v>
      </c>
      <c r="T87" s="50">
        <v>26</v>
      </c>
      <c r="U87" s="50">
        <v>10.41</v>
      </c>
      <c r="V87" s="50">
        <v>56.6</v>
      </c>
      <c r="W87" s="50">
        <v>36</v>
      </c>
      <c r="X87" s="50">
        <v>332</v>
      </c>
      <c r="Y87" s="50">
        <v>12.84</v>
      </c>
      <c r="Z87" s="50">
        <v>31.3</v>
      </c>
      <c r="AA87" s="50">
        <v>5.42</v>
      </c>
      <c r="AB87" s="50"/>
      <c r="AC87" s="50"/>
      <c r="AD87" s="50"/>
      <c r="AE87" s="50"/>
      <c r="AF87" s="50"/>
      <c r="AG87" s="50"/>
      <c r="AH87" s="50"/>
      <c r="AI87" s="50"/>
      <c r="AJ87" s="50"/>
    </row>
    <row r="88" spans="1:36" ht="15" customHeight="1" x14ac:dyDescent="0.25">
      <c r="A88" s="50">
        <v>18</v>
      </c>
      <c r="B88" s="50" t="s">
        <v>923</v>
      </c>
      <c r="C88" s="50" t="s">
        <v>1352</v>
      </c>
      <c r="D88" s="50">
        <v>44</v>
      </c>
      <c r="E88" s="50" t="s">
        <v>1359</v>
      </c>
      <c r="F88" s="50">
        <v>4</v>
      </c>
      <c r="G88" s="50">
        <v>6.5</v>
      </c>
      <c r="H88" s="50">
        <v>47</v>
      </c>
      <c r="I88" s="50">
        <v>3.96</v>
      </c>
      <c r="J88" s="50">
        <v>83</v>
      </c>
      <c r="K88" s="50">
        <v>94</v>
      </c>
      <c r="L88" s="50">
        <v>5.73</v>
      </c>
      <c r="M88" s="50">
        <v>5.24</v>
      </c>
      <c r="N88" s="50">
        <v>42</v>
      </c>
      <c r="O88" s="50">
        <v>14.5</v>
      </c>
      <c r="P88" s="50">
        <v>10.8</v>
      </c>
      <c r="Q88" s="50">
        <v>52.2</v>
      </c>
      <c r="R88" s="50">
        <v>30</v>
      </c>
      <c r="S88" s="50">
        <v>20.7</v>
      </c>
      <c r="T88" s="50">
        <v>31</v>
      </c>
      <c r="U88" s="50">
        <v>10.34</v>
      </c>
      <c r="V88" s="50">
        <v>56.9</v>
      </c>
      <c r="W88" s="50">
        <v>43</v>
      </c>
      <c r="X88" s="50">
        <v>350</v>
      </c>
      <c r="Y88" s="50">
        <v>12.83</v>
      </c>
      <c r="Z88" s="50">
        <v>30.5</v>
      </c>
      <c r="AA88" s="50">
        <v>5.4</v>
      </c>
      <c r="AB88" s="50"/>
      <c r="AC88" s="50"/>
      <c r="AD88" s="50"/>
      <c r="AE88" s="50"/>
      <c r="AF88" s="50"/>
      <c r="AG88" s="50"/>
      <c r="AH88" s="50"/>
      <c r="AI88" s="50"/>
      <c r="AJ88" s="50"/>
    </row>
    <row r="89" spans="1:36" ht="15" customHeight="1" x14ac:dyDescent="0.25">
      <c r="A89" s="50">
        <v>18</v>
      </c>
      <c r="B89" s="50" t="s">
        <v>923</v>
      </c>
      <c r="C89" s="50" t="s">
        <v>1352</v>
      </c>
      <c r="D89" s="50">
        <v>44</v>
      </c>
      <c r="E89" s="50" t="s">
        <v>1359</v>
      </c>
      <c r="F89" s="50">
        <v>8</v>
      </c>
      <c r="G89" s="50">
        <v>5.9</v>
      </c>
      <c r="H89" s="50">
        <v>44</v>
      </c>
      <c r="I89" s="50">
        <v>3.62</v>
      </c>
      <c r="J89" s="50">
        <v>85</v>
      </c>
      <c r="K89" s="50">
        <v>89</v>
      </c>
      <c r="L89" s="50">
        <v>5.39</v>
      </c>
      <c r="M89" s="50">
        <v>4.72</v>
      </c>
      <c r="N89" s="50">
        <v>40</v>
      </c>
      <c r="O89" s="50">
        <v>13.4</v>
      </c>
      <c r="P89" s="50">
        <v>10.3</v>
      </c>
      <c r="Q89" s="50">
        <v>49.5</v>
      </c>
      <c r="R89" s="50">
        <v>33.700000000000003</v>
      </c>
      <c r="S89" s="50">
        <v>24.4</v>
      </c>
      <c r="T89" s="50">
        <v>34</v>
      </c>
      <c r="U89" s="50">
        <v>9.64</v>
      </c>
      <c r="V89" s="50">
        <v>59.3</v>
      </c>
      <c r="W89" s="50">
        <v>47</v>
      </c>
      <c r="X89" s="50">
        <v>368</v>
      </c>
      <c r="Y89" s="50">
        <v>12.51</v>
      </c>
      <c r="Z89" s="50">
        <v>33.5</v>
      </c>
      <c r="AA89" s="50">
        <v>5.53</v>
      </c>
      <c r="AB89" s="50"/>
      <c r="AC89" s="50"/>
      <c r="AD89" s="50"/>
      <c r="AE89" s="50"/>
      <c r="AF89" s="50"/>
      <c r="AG89" s="50"/>
      <c r="AH89" s="50"/>
      <c r="AI89" s="50"/>
      <c r="AJ89" s="50"/>
    </row>
    <row r="90" spans="1:36" ht="15" customHeight="1" x14ac:dyDescent="0.25">
      <c r="A90" s="50">
        <v>18</v>
      </c>
      <c r="B90" s="50" t="s">
        <v>923</v>
      </c>
      <c r="C90" s="50" t="s">
        <v>1352</v>
      </c>
      <c r="D90" s="50">
        <v>44</v>
      </c>
      <c r="E90" s="50" t="s">
        <v>1359</v>
      </c>
      <c r="F90" s="50">
        <v>12</v>
      </c>
      <c r="G90" s="50">
        <v>5.3</v>
      </c>
      <c r="H90" s="50">
        <v>43</v>
      </c>
      <c r="I90" s="50">
        <v>3.46</v>
      </c>
      <c r="J90" s="50">
        <v>84</v>
      </c>
      <c r="K90" s="50">
        <v>83</v>
      </c>
      <c r="L90" s="50">
        <v>4.79</v>
      </c>
      <c r="M90" s="50">
        <v>4.74</v>
      </c>
      <c r="N90" s="50">
        <v>39</v>
      </c>
      <c r="O90" s="50">
        <v>12.5</v>
      </c>
      <c r="P90" s="50">
        <v>9.1999999999999993</v>
      </c>
      <c r="Q90" s="50">
        <v>44.1</v>
      </c>
      <c r="R90" s="50">
        <v>38.799999999999997</v>
      </c>
      <c r="S90" s="50">
        <v>27.1</v>
      </c>
      <c r="T90" s="50">
        <v>37</v>
      </c>
      <c r="U90" s="50">
        <v>9.15</v>
      </c>
      <c r="V90" s="50">
        <v>61.7</v>
      </c>
      <c r="W90" s="50">
        <v>48</v>
      </c>
      <c r="X90" s="50">
        <v>389</v>
      </c>
      <c r="Y90" s="50">
        <v>12</v>
      </c>
      <c r="Z90" s="50">
        <v>35.5</v>
      </c>
      <c r="AA90" s="50">
        <v>5.78</v>
      </c>
      <c r="AB90" s="50"/>
      <c r="AC90" s="50"/>
      <c r="AD90" s="50"/>
      <c r="AE90" s="50"/>
      <c r="AF90" s="50"/>
      <c r="AG90" s="50"/>
      <c r="AH90" s="50"/>
      <c r="AI90" s="50"/>
      <c r="AJ90" s="50"/>
    </row>
    <row r="91" spans="1:36" ht="15" customHeight="1" x14ac:dyDescent="0.25">
      <c r="A91" s="50">
        <v>18</v>
      </c>
      <c r="B91" s="50" t="s">
        <v>923</v>
      </c>
      <c r="C91" s="50" t="s">
        <v>1352</v>
      </c>
      <c r="D91" s="50">
        <v>44</v>
      </c>
      <c r="E91" s="50" t="s">
        <v>1359</v>
      </c>
      <c r="F91" s="50">
        <v>21</v>
      </c>
      <c r="G91" s="50">
        <v>4.4000000000000004</v>
      </c>
      <c r="H91" s="50">
        <v>38</v>
      </c>
      <c r="I91" s="50">
        <v>3.03</v>
      </c>
      <c r="J91" s="50">
        <v>97</v>
      </c>
      <c r="K91" s="50">
        <v>71</v>
      </c>
      <c r="L91" s="50">
        <v>4.08</v>
      </c>
      <c r="M91" s="50">
        <v>3.89</v>
      </c>
      <c r="N91" s="50">
        <v>36</v>
      </c>
      <c r="O91" s="50">
        <v>11.6</v>
      </c>
      <c r="P91" s="50">
        <v>8.6999999999999993</v>
      </c>
      <c r="Q91" s="50">
        <v>36.700000000000003</v>
      </c>
      <c r="R91" s="50">
        <v>45</v>
      </c>
      <c r="S91" s="50">
        <v>27.7</v>
      </c>
      <c r="T91" s="50">
        <v>50</v>
      </c>
      <c r="U91" s="50">
        <v>7.89</v>
      </c>
      <c r="V91" s="50">
        <v>64.099999999999994</v>
      </c>
      <c r="W91" s="50">
        <v>56</v>
      </c>
      <c r="X91" s="50">
        <v>432</v>
      </c>
      <c r="Y91" s="50">
        <v>10.99</v>
      </c>
      <c r="Z91" s="50">
        <v>35.200000000000003</v>
      </c>
      <c r="AA91" s="50">
        <v>5.81</v>
      </c>
      <c r="AB91" s="50"/>
      <c r="AC91" s="50"/>
      <c r="AD91" s="50"/>
      <c r="AE91" s="50"/>
      <c r="AF91" s="50"/>
      <c r="AG91" s="50"/>
      <c r="AH91" s="50"/>
      <c r="AI91" s="50"/>
      <c r="AJ91" s="50"/>
    </row>
    <row r="92" spans="1:36" ht="15" customHeight="1" x14ac:dyDescent="0.25">
      <c r="A92" s="50">
        <v>19</v>
      </c>
      <c r="B92" s="50" t="s">
        <v>923</v>
      </c>
      <c r="C92" s="50" t="s">
        <v>1352</v>
      </c>
      <c r="D92" s="50">
        <v>37</v>
      </c>
      <c r="E92" s="50" t="s">
        <v>1359</v>
      </c>
      <c r="F92" s="50">
        <v>0</v>
      </c>
      <c r="G92" s="50">
        <v>6.8</v>
      </c>
      <c r="H92" s="50">
        <v>47</v>
      </c>
      <c r="I92" s="50">
        <v>3.11</v>
      </c>
      <c r="J92" s="50">
        <v>98</v>
      </c>
      <c r="K92" s="50">
        <v>100</v>
      </c>
      <c r="L92" s="50">
        <v>7.1</v>
      </c>
      <c r="M92" s="50">
        <v>6.37</v>
      </c>
      <c r="N92" s="50">
        <v>48</v>
      </c>
      <c r="O92" s="50">
        <v>14.9</v>
      </c>
      <c r="P92" s="50">
        <v>11.9</v>
      </c>
      <c r="Q92" s="50">
        <v>47</v>
      </c>
      <c r="R92" s="50">
        <v>48.2</v>
      </c>
      <c r="S92" s="50">
        <v>20</v>
      </c>
      <c r="T92" s="50">
        <v>31</v>
      </c>
      <c r="U92" s="50">
        <v>3.11</v>
      </c>
      <c r="V92" s="50">
        <v>58.1</v>
      </c>
      <c r="W92" s="50">
        <v>42</v>
      </c>
      <c r="X92" s="50">
        <v>363</v>
      </c>
      <c r="Y92" s="50">
        <v>15.42</v>
      </c>
      <c r="Z92" s="50">
        <v>24.8</v>
      </c>
      <c r="AA92" s="50">
        <v>5.51</v>
      </c>
      <c r="AB92" s="50"/>
      <c r="AC92" s="50"/>
      <c r="AD92" s="50"/>
      <c r="AE92" s="50"/>
      <c r="AF92" s="50"/>
      <c r="AG92" s="50"/>
      <c r="AH92" s="50"/>
      <c r="AI92" s="50"/>
      <c r="AJ92" s="50"/>
    </row>
    <row r="93" spans="1:36" ht="15" customHeight="1" x14ac:dyDescent="0.25">
      <c r="A93" s="50">
        <v>19</v>
      </c>
      <c r="B93" s="50" t="s">
        <v>923</v>
      </c>
      <c r="C93" s="50" t="s">
        <v>1352</v>
      </c>
      <c r="D93" s="50">
        <v>37</v>
      </c>
      <c r="E93" s="50" t="s">
        <v>1359</v>
      </c>
      <c r="F93" s="50">
        <v>4</v>
      </c>
      <c r="G93" s="50">
        <v>6.6</v>
      </c>
      <c r="H93" s="50">
        <v>45</v>
      </c>
      <c r="I93" s="50">
        <v>2.96</v>
      </c>
      <c r="J93" s="50">
        <v>102</v>
      </c>
      <c r="K93" s="50">
        <v>94</v>
      </c>
      <c r="L93" s="50">
        <v>6.97</v>
      </c>
      <c r="M93" s="50">
        <v>6.07</v>
      </c>
      <c r="N93" s="50">
        <v>46</v>
      </c>
      <c r="O93" s="50">
        <v>14.8</v>
      </c>
      <c r="P93" s="50">
        <v>11.3</v>
      </c>
      <c r="Q93" s="50">
        <v>46.9</v>
      </c>
      <c r="R93" s="50">
        <v>47.5</v>
      </c>
      <c r="S93" s="50">
        <v>21.9</v>
      </c>
      <c r="T93" s="50">
        <v>31</v>
      </c>
      <c r="U93" s="50">
        <v>2.33</v>
      </c>
      <c r="V93" s="50">
        <v>57.9</v>
      </c>
      <c r="W93" s="50">
        <v>47</v>
      </c>
      <c r="X93" s="50">
        <v>362</v>
      </c>
      <c r="Y93" s="50">
        <v>14.99</v>
      </c>
      <c r="Z93" s="50">
        <v>26.1</v>
      </c>
      <c r="AA93" s="50">
        <v>5.85</v>
      </c>
      <c r="AB93" s="50"/>
      <c r="AC93" s="50"/>
      <c r="AD93" s="50"/>
      <c r="AE93" s="50"/>
      <c r="AF93" s="50"/>
      <c r="AG93" s="50"/>
      <c r="AH93" s="50"/>
      <c r="AI93" s="50"/>
      <c r="AJ93" s="50"/>
    </row>
    <row r="94" spans="1:36" ht="15" customHeight="1" x14ac:dyDescent="0.25">
      <c r="A94" s="50">
        <v>19</v>
      </c>
      <c r="B94" s="50" t="s">
        <v>923</v>
      </c>
      <c r="C94" s="50" t="s">
        <v>1352</v>
      </c>
      <c r="D94" s="50">
        <v>37</v>
      </c>
      <c r="E94" s="50" t="s">
        <v>1359</v>
      </c>
      <c r="F94" s="50">
        <v>8</v>
      </c>
      <c r="G94" s="50">
        <v>5.9</v>
      </c>
      <c r="H94" s="50">
        <v>42</v>
      </c>
      <c r="I94" s="50">
        <v>2.85</v>
      </c>
      <c r="J94" s="50">
        <v>102</v>
      </c>
      <c r="K94" s="50">
        <v>89</v>
      </c>
      <c r="L94" s="50">
        <v>6.3</v>
      </c>
      <c r="M94" s="50">
        <v>5.76</v>
      </c>
      <c r="N94" s="50">
        <v>45</v>
      </c>
      <c r="O94" s="50">
        <v>13.7</v>
      </c>
      <c r="P94" s="50">
        <v>11.2</v>
      </c>
      <c r="Q94" s="50">
        <v>41.1</v>
      </c>
      <c r="R94" s="50">
        <v>51.6</v>
      </c>
      <c r="S94" s="50">
        <v>22.4</v>
      </c>
      <c r="T94" s="50">
        <v>36</v>
      </c>
      <c r="U94" s="50">
        <v>2.29</v>
      </c>
      <c r="V94" s="50">
        <v>59.6</v>
      </c>
      <c r="W94" s="50">
        <v>49</v>
      </c>
      <c r="X94" s="50">
        <v>376</v>
      </c>
      <c r="Y94" s="50">
        <v>14.96</v>
      </c>
      <c r="Z94" s="50">
        <v>27.3</v>
      </c>
      <c r="AA94" s="50">
        <v>5.77</v>
      </c>
      <c r="AB94" s="50"/>
      <c r="AC94" s="50"/>
      <c r="AD94" s="50"/>
      <c r="AE94" s="50"/>
      <c r="AF94" s="50"/>
      <c r="AG94" s="50"/>
      <c r="AH94" s="50"/>
      <c r="AI94" s="50"/>
      <c r="AJ94" s="50"/>
    </row>
    <row r="95" spans="1:36" ht="15" customHeight="1" x14ac:dyDescent="0.25">
      <c r="A95" s="50">
        <v>19</v>
      </c>
      <c r="B95" s="50" t="s">
        <v>923</v>
      </c>
      <c r="C95" s="50" t="s">
        <v>1352</v>
      </c>
      <c r="D95" s="50">
        <v>37</v>
      </c>
      <c r="E95" s="50" t="s">
        <v>1359</v>
      </c>
      <c r="F95" s="50">
        <v>12</v>
      </c>
      <c r="G95" s="50">
        <v>5.4</v>
      </c>
      <c r="H95" s="50">
        <v>40</v>
      </c>
      <c r="I95" s="50">
        <v>2.68</v>
      </c>
      <c r="J95" s="50">
        <v>108</v>
      </c>
      <c r="K95" s="50">
        <v>83</v>
      </c>
      <c r="L95" s="50">
        <v>6.04</v>
      </c>
      <c r="M95" s="50">
        <v>5.14</v>
      </c>
      <c r="N95" s="50">
        <v>43</v>
      </c>
      <c r="O95" s="50">
        <v>13.1</v>
      </c>
      <c r="P95" s="50">
        <v>10.8</v>
      </c>
      <c r="Q95" s="50">
        <v>42.2</v>
      </c>
      <c r="R95" s="50">
        <v>50.3</v>
      </c>
      <c r="S95" s="50">
        <v>25.8</v>
      </c>
      <c r="T95" s="50">
        <v>41</v>
      </c>
      <c r="U95" s="50">
        <v>3.11</v>
      </c>
      <c r="V95" s="50">
        <v>59.5</v>
      </c>
      <c r="W95" s="50">
        <v>56</v>
      </c>
      <c r="X95" s="50">
        <v>411</v>
      </c>
      <c r="Y95" s="50">
        <v>13.3</v>
      </c>
      <c r="Z95" s="50">
        <v>28.5</v>
      </c>
      <c r="AA95" s="50">
        <v>5.85</v>
      </c>
      <c r="AB95" s="50"/>
      <c r="AC95" s="50"/>
      <c r="AD95" s="50"/>
      <c r="AE95" s="50"/>
      <c r="AF95" s="50"/>
      <c r="AG95" s="50"/>
      <c r="AH95" s="50"/>
      <c r="AI95" s="50"/>
      <c r="AJ95" s="50"/>
    </row>
    <row r="96" spans="1:36" ht="15" customHeight="1" x14ac:dyDescent="0.25">
      <c r="A96" s="50">
        <v>19</v>
      </c>
      <c r="B96" s="50" t="s">
        <v>923</v>
      </c>
      <c r="C96" s="50" t="s">
        <v>1352</v>
      </c>
      <c r="D96" s="50">
        <v>37</v>
      </c>
      <c r="E96" s="50" t="s">
        <v>1359</v>
      </c>
      <c r="F96" s="50">
        <v>21</v>
      </c>
      <c r="G96" s="50">
        <v>4.4000000000000004</v>
      </c>
      <c r="H96" s="50">
        <v>36</v>
      </c>
      <c r="I96" s="50">
        <v>2.2599999999999998</v>
      </c>
      <c r="J96" s="50">
        <v>111</v>
      </c>
      <c r="K96" s="50">
        <v>71</v>
      </c>
      <c r="L96" s="50">
        <v>4.83</v>
      </c>
      <c r="M96" s="50">
        <v>4.26</v>
      </c>
      <c r="N96" s="50">
        <v>38</v>
      </c>
      <c r="O96" s="50">
        <v>13</v>
      </c>
      <c r="P96" s="50">
        <v>10</v>
      </c>
      <c r="Q96" s="50">
        <v>36.5</v>
      </c>
      <c r="R96" s="50">
        <v>58</v>
      </c>
      <c r="S96" s="50">
        <v>30.5</v>
      </c>
      <c r="T96" s="50">
        <v>44</v>
      </c>
      <c r="U96" s="50">
        <v>1.65</v>
      </c>
      <c r="V96" s="50">
        <v>64.900000000000006</v>
      </c>
      <c r="W96" s="50">
        <v>61</v>
      </c>
      <c r="X96" s="50">
        <v>429</v>
      </c>
      <c r="Y96" s="50">
        <v>13.34</v>
      </c>
      <c r="Z96" s="50">
        <v>33.799999999999997</v>
      </c>
      <c r="AA96" s="50">
        <v>6.4</v>
      </c>
      <c r="AB96" s="50"/>
      <c r="AC96" s="50"/>
      <c r="AD96" s="50"/>
      <c r="AE96" s="50"/>
      <c r="AF96" s="50"/>
      <c r="AG96" s="50"/>
      <c r="AH96" s="50"/>
      <c r="AI96" s="50"/>
      <c r="AJ96" s="50"/>
    </row>
    <row r="97" spans="1:36" ht="15" customHeight="1" x14ac:dyDescent="0.25">
      <c r="A97" s="50">
        <v>20</v>
      </c>
      <c r="B97" s="50" t="s">
        <v>923</v>
      </c>
      <c r="C97" s="50" t="s">
        <v>1352</v>
      </c>
      <c r="D97" s="50">
        <v>28</v>
      </c>
      <c r="E97" s="50" t="s">
        <v>1355</v>
      </c>
      <c r="F97" s="50">
        <v>0</v>
      </c>
      <c r="G97" s="50">
        <v>7.1</v>
      </c>
      <c r="H97" s="50">
        <v>59</v>
      </c>
      <c r="I97" s="50">
        <v>3.49</v>
      </c>
      <c r="J97" s="50">
        <v>88</v>
      </c>
      <c r="K97" s="50">
        <v>100</v>
      </c>
      <c r="L97" s="50">
        <v>6.96</v>
      </c>
      <c r="M97" s="50">
        <v>6.18</v>
      </c>
      <c r="N97" s="50">
        <v>55</v>
      </c>
      <c r="O97" s="50">
        <v>14.4</v>
      </c>
      <c r="P97" s="50">
        <v>9.4</v>
      </c>
      <c r="Q97" s="50">
        <v>32.200000000000003</v>
      </c>
      <c r="R97" s="50">
        <v>32.9</v>
      </c>
      <c r="S97" s="50">
        <v>17.3</v>
      </c>
      <c r="T97" s="50">
        <v>42</v>
      </c>
      <c r="U97" s="50">
        <v>8.34</v>
      </c>
      <c r="V97" s="50">
        <v>61.9</v>
      </c>
      <c r="W97" s="50">
        <v>39</v>
      </c>
      <c r="X97" s="50">
        <v>338</v>
      </c>
      <c r="Y97" s="50">
        <v>12.33</v>
      </c>
      <c r="Z97" s="50">
        <v>26.1</v>
      </c>
      <c r="AA97" s="50">
        <v>6.08</v>
      </c>
      <c r="AB97" s="50"/>
      <c r="AC97" s="50"/>
      <c r="AD97" s="50"/>
      <c r="AE97" s="50"/>
      <c r="AF97" s="50"/>
      <c r="AG97" s="50"/>
      <c r="AH97" s="50"/>
      <c r="AI97" s="50"/>
      <c r="AJ97" s="50"/>
    </row>
    <row r="98" spans="1:36" ht="15" customHeight="1" x14ac:dyDescent="0.25">
      <c r="A98" s="50">
        <v>20</v>
      </c>
      <c r="B98" s="50" t="s">
        <v>923</v>
      </c>
      <c r="C98" s="50" t="s">
        <v>1352</v>
      </c>
      <c r="D98" s="50">
        <v>28</v>
      </c>
      <c r="E98" s="50" t="s">
        <v>1355</v>
      </c>
      <c r="F98" s="50">
        <v>4</v>
      </c>
      <c r="G98" s="50">
        <v>6.3</v>
      </c>
      <c r="H98" s="50">
        <v>55</v>
      </c>
      <c r="I98" s="50">
        <v>3.41</v>
      </c>
      <c r="J98" s="50">
        <v>94</v>
      </c>
      <c r="K98" s="50">
        <v>94</v>
      </c>
      <c r="L98" s="50">
        <v>6.06</v>
      </c>
      <c r="M98" s="50">
        <v>5.53</v>
      </c>
      <c r="N98" s="50">
        <v>55</v>
      </c>
      <c r="O98" s="50">
        <v>12.8</v>
      </c>
      <c r="P98" s="50">
        <v>9</v>
      </c>
      <c r="Q98" s="50">
        <v>31.4</v>
      </c>
      <c r="R98" s="50">
        <v>37.6</v>
      </c>
      <c r="S98" s="50">
        <v>20.8</v>
      </c>
      <c r="T98" s="50">
        <v>45</v>
      </c>
      <c r="U98" s="50">
        <v>8.02</v>
      </c>
      <c r="V98" s="50">
        <v>63.4</v>
      </c>
      <c r="W98" s="50">
        <v>47</v>
      </c>
      <c r="X98" s="50">
        <v>379</v>
      </c>
      <c r="Y98" s="50">
        <v>12.41</v>
      </c>
      <c r="Z98" s="50">
        <v>28.5</v>
      </c>
      <c r="AA98" s="50">
        <v>6.03</v>
      </c>
      <c r="AB98" s="50"/>
      <c r="AC98" s="50"/>
      <c r="AD98" s="50"/>
      <c r="AE98" s="50"/>
      <c r="AF98" s="50"/>
      <c r="AG98" s="50"/>
      <c r="AH98" s="50"/>
      <c r="AI98" s="50"/>
      <c r="AJ98" s="50"/>
    </row>
    <row r="99" spans="1:36" ht="15" customHeight="1" x14ac:dyDescent="0.25">
      <c r="A99" s="50">
        <v>20</v>
      </c>
      <c r="B99" s="50" t="s">
        <v>923</v>
      </c>
      <c r="C99" s="50" t="s">
        <v>1352</v>
      </c>
      <c r="D99" s="50">
        <v>28</v>
      </c>
      <c r="E99" s="50" t="s">
        <v>1355</v>
      </c>
      <c r="F99" s="50">
        <v>8</v>
      </c>
      <c r="G99" s="50">
        <v>5.7</v>
      </c>
      <c r="H99" s="50">
        <v>54</v>
      </c>
      <c r="I99" s="50">
        <v>3.16</v>
      </c>
      <c r="J99" s="50">
        <v>92</v>
      </c>
      <c r="K99" s="50">
        <v>89</v>
      </c>
      <c r="L99" s="50">
        <v>5.7</v>
      </c>
      <c r="M99" s="50">
        <v>4.88</v>
      </c>
      <c r="N99" s="50">
        <v>49</v>
      </c>
      <c r="O99" s="50">
        <v>12.9</v>
      </c>
      <c r="P99" s="50">
        <v>8.6</v>
      </c>
      <c r="Q99" s="50">
        <v>28.5</v>
      </c>
      <c r="R99" s="50">
        <v>41</v>
      </c>
      <c r="S99" s="50">
        <v>23.3</v>
      </c>
      <c r="T99" s="50">
        <v>48</v>
      </c>
      <c r="U99" s="50">
        <v>6.67</v>
      </c>
      <c r="V99" s="50">
        <v>64.5</v>
      </c>
      <c r="W99" s="50">
        <v>50</v>
      </c>
      <c r="X99" s="50">
        <v>400</v>
      </c>
      <c r="Y99" s="50">
        <v>12.18</v>
      </c>
      <c r="Z99" s="50">
        <v>29.6</v>
      </c>
      <c r="AA99" s="50">
        <v>6.12</v>
      </c>
      <c r="AB99" s="50"/>
      <c r="AC99" s="50"/>
      <c r="AD99" s="50"/>
      <c r="AE99" s="50"/>
      <c r="AF99" s="50"/>
      <c r="AG99" s="50"/>
      <c r="AH99" s="50"/>
      <c r="AI99" s="50"/>
      <c r="AJ99" s="50"/>
    </row>
    <row r="100" spans="1:36" ht="15" customHeight="1" x14ac:dyDescent="0.25">
      <c r="A100" s="50">
        <v>20</v>
      </c>
      <c r="B100" s="50" t="s">
        <v>923</v>
      </c>
      <c r="C100" s="50" t="s">
        <v>1352</v>
      </c>
      <c r="D100" s="50">
        <v>28</v>
      </c>
      <c r="E100" s="50" t="s">
        <v>1355</v>
      </c>
      <c r="F100" s="50">
        <v>12</v>
      </c>
      <c r="G100" s="50">
        <v>5.4</v>
      </c>
      <c r="H100" s="50">
        <v>51</v>
      </c>
      <c r="I100" s="50">
        <v>3.02</v>
      </c>
      <c r="J100" s="50">
        <v>94</v>
      </c>
      <c r="K100" s="50">
        <v>83</v>
      </c>
      <c r="L100" s="50">
        <v>5.52</v>
      </c>
      <c r="M100" s="50">
        <v>4.74</v>
      </c>
      <c r="N100" s="50">
        <v>48</v>
      </c>
      <c r="O100" s="50">
        <v>12.5</v>
      </c>
      <c r="P100" s="50">
        <v>8.1</v>
      </c>
      <c r="Q100" s="50">
        <v>28.3</v>
      </c>
      <c r="R100" s="50">
        <v>40</v>
      </c>
      <c r="S100" s="50">
        <v>23.3</v>
      </c>
      <c r="T100" s="50">
        <v>48</v>
      </c>
      <c r="U100" s="50">
        <v>6.37</v>
      </c>
      <c r="V100" s="50">
        <v>64.7</v>
      </c>
      <c r="W100" s="50">
        <v>56</v>
      </c>
      <c r="X100" s="50">
        <v>420</v>
      </c>
      <c r="Y100" s="50">
        <v>10.62</v>
      </c>
      <c r="Z100" s="50">
        <v>30.7</v>
      </c>
      <c r="AA100" s="50">
        <v>5.86</v>
      </c>
      <c r="AB100" s="50"/>
      <c r="AC100" s="50"/>
      <c r="AD100" s="50"/>
      <c r="AE100" s="50"/>
      <c r="AF100" s="50"/>
      <c r="AG100" s="50"/>
      <c r="AH100" s="50"/>
      <c r="AI100" s="50"/>
      <c r="AJ100" s="50"/>
    </row>
    <row r="101" spans="1:36" ht="15" customHeight="1" x14ac:dyDescent="0.25">
      <c r="A101" s="50">
        <v>20</v>
      </c>
      <c r="B101" s="50" t="s">
        <v>923</v>
      </c>
      <c r="C101" s="50" t="s">
        <v>1352</v>
      </c>
      <c r="D101" s="50">
        <v>28</v>
      </c>
      <c r="E101" s="50" t="s">
        <v>1355</v>
      </c>
      <c r="F101" s="50">
        <v>21</v>
      </c>
      <c r="G101" s="50">
        <v>4.5</v>
      </c>
      <c r="H101" s="50">
        <v>47</v>
      </c>
      <c r="I101" s="50">
        <v>2.61</v>
      </c>
      <c r="J101" s="50">
        <v>100</v>
      </c>
      <c r="K101" s="50">
        <v>71</v>
      </c>
      <c r="L101" s="50">
        <v>4.22</v>
      </c>
      <c r="M101" s="50">
        <v>4.33</v>
      </c>
      <c r="N101" s="50">
        <v>43</v>
      </c>
      <c r="O101" s="50">
        <v>11.9</v>
      </c>
      <c r="P101" s="50">
        <v>8.9</v>
      </c>
      <c r="Q101" s="50">
        <v>29.7</v>
      </c>
      <c r="R101" s="50">
        <v>44.4</v>
      </c>
      <c r="S101" s="50">
        <v>28.1</v>
      </c>
      <c r="T101" s="50">
        <v>62</v>
      </c>
      <c r="U101" s="50">
        <v>6.15</v>
      </c>
      <c r="V101" s="50">
        <v>66.599999999999994</v>
      </c>
      <c r="W101" s="50">
        <v>59</v>
      </c>
      <c r="X101" s="50">
        <v>450</v>
      </c>
      <c r="Y101" s="50">
        <v>10.37</v>
      </c>
      <c r="Z101" s="50">
        <v>34.299999999999997</v>
      </c>
      <c r="AA101" s="50">
        <v>6.6</v>
      </c>
      <c r="AB101" s="50"/>
      <c r="AC101" s="50"/>
      <c r="AD101" s="50"/>
      <c r="AE101" s="50"/>
      <c r="AF101" s="50"/>
      <c r="AG101" s="50"/>
      <c r="AH101" s="50"/>
      <c r="AI101" s="50"/>
      <c r="AJ101" s="50"/>
    </row>
    <row r="102" spans="1:36" ht="15" customHeight="1" x14ac:dyDescent="0.25">
      <c r="A102" s="50">
        <v>21</v>
      </c>
      <c r="B102" s="50" t="s">
        <v>923</v>
      </c>
      <c r="C102" s="50" t="s">
        <v>1357</v>
      </c>
      <c r="D102" s="50">
        <v>41</v>
      </c>
      <c r="E102" s="50" t="s">
        <v>1359</v>
      </c>
      <c r="F102" s="50">
        <v>0</v>
      </c>
      <c r="G102" s="50">
        <v>7.1</v>
      </c>
      <c r="H102" s="50">
        <v>58</v>
      </c>
      <c r="I102" s="50">
        <v>3.59</v>
      </c>
      <c r="J102" s="50">
        <v>104</v>
      </c>
      <c r="K102" s="50">
        <v>100</v>
      </c>
      <c r="L102" s="50">
        <v>6.31</v>
      </c>
      <c r="M102" s="50">
        <v>5.59</v>
      </c>
      <c r="N102" s="50">
        <v>47</v>
      </c>
      <c r="O102" s="50">
        <v>11.7</v>
      </c>
      <c r="P102" s="50">
        <v>10.8</v>
      </c>
      <c r="Q102" s="50">
        <v>52.2</v>
      </c>
      <c r="R102" s="50">
        <v>42.3</v>
      </c>
      <c r="S102" s="50">
        <v>24.3</v>
      </c>
      <c r="T102" s="50">
        <v>37</v>
      </c>
      <c r="U102" s="50">
        <v>8.4499999999999993</v>
      </c>
      <c r="V102" s="50">
        <v>54.5</v>
      </c>
      <c r="W102" s="50">
        <v>53</v>
      </c>
      <c r="X102" s="50">
        <v>335</v>
      </c>
      <c r="Y102" s="50">
        <v>12.33</v>
      </c>
      <c r="Z102" s="50">
        <v>16.899999999999999</v>
      </c>
      <c r="AA102" s="50">
        <v>5.16</v>
      </c>
      <c r="AB102" s="50"/>
      <c r="AC102" s="50"/>
      <c r="AD102" s="50"/>
      <c r="AE102" s="50"/>
      <c r="AF102" s="50"/>
      <c r="AG102" s="50"/>
      <c r="AH102" s="50"/>
      <c r="AI102" s="50"/>
      <c r="AJ102" s="50"/>
    </row>
    <row r="103" spans="1:36" ht="15" customHeight="1" x14ac:dyDescent="0.25">
      <c r="A103" s="50">
        <v>21</v>
      </c>
      <c r="B103" s="50" t="s">
        <v>923</v>
      </c>
      <c r="C103" s="50" t="s">
        <v>1357</v>
      </c>
      <c r="D103" s="50">
        <v>41</v>
      </c>
      <c r="E103" s="50" t="s">
        <v>1359</v>
      </c>
      <c r="F103" s="50">
        <v>4</v>
      </c>
      <c r="G103" s="50">
        <v>6.6</v>
      </c>
      <c r="H103" s="50">
        <v>59</v>
      </c>
      <c r="I103" s="50">
        <v>3.25</v>
      </c>
      <c r="J103" s="50">
        <v>111</v>
      </c>
      <c r="K103" s="50">
        <v>94</v>
      </c>
      <c r="L103" s="50">
        <v>5.92</v>
      </c>
      <c r="M103" s="50">
        <v>5.28</v>
      </c>
      <c r="N103" s="50">
        <v>45</v>
      </c>
      <c r="O103" s="50">
        <v>10.5</v>
      </c>
      <c r="P103" s="50">
        <v>10.3</v>
      </c>
      <c r="Q103" s="50">
        <v>50</v>
      </c>
      <c r="R103" s="50">
        <v>44.4</v>
      </c>
      <c r="S103" s="50">
        <v>24.9</v>
      </c>
      <c r="T103" s="50">
        <v>42</v>
      </c>
      <c r="U103" s="50">
        <v>6.79</v>
      </c>
      <c r="V103" s="50">
        <v>57.2</v>
      </c>
      <c r="W103" s="50">
        <v>55</v>
      </c>
      <c r="X103" s="50">
        <v>366</v>
      </c>
      <c r="Y103" s="50">
        <v>11.38</v>
      </c>
      <c r="Z103" s="50">
        <v>18.7</v>
      </c>
      <c r="AA103" s="50">
        <v>5.33</v>
      </c>
      <c r="AB103" s="50"/>
      <c r="AC103" s="50"/>
      <c r="AD103" s="50"/>
      <c r="AE103" s="50"/>
      <c r="AF103" s="50"/>
      <c r="AG103" s="50"/>
      <c r="AH103" s="50"/>
      <c r="AI103" s="50"/>
      <c r="AJ103" s="50"/>
    </row>
    <row r="104" spans="1:36" ht="15" customHeight="1" x14ac:dyDescent="0.25">
      <c r="A104" s="50">
        <v>21</v>
      </c>
      <c r="B104" s="50" t="s">
        <v>923</v>
      </c>
      <c r="C104" s="50" t="s">
        <v>1357</v>
      </c>
      <c r="D104" s="50">
        <v>41</v>
      </c>
      <c r="E104" s="50" t="s">
        <v>1359</v>
      </c>
      <c r="F104" s="50">
        <v>8</v>
      </c>
      <c r="G104" s="50">
        <v>6.1</v>
      </c>
      <c r="H104" s="50">
        <v>56</v>
      </c>
      <c r="I104" s="50">
        <v>3.12</v>
      </c>
      <c r="J104" s="50">
        <v>112</v>
      </c>
      <c r="K104" s="50">
        <v>89</v>
      </c>
      <c r="L104" s="50">
        <v>5.51</v>
      </c>
      <c r="M104" s="50">
        <v>5.04</v>
      </c>
      <c r="N104" s="50">
        <v>39</v>
      </c>
      <c r="O104" s="50">
        <v>10.5</v>
      </c>
      <c r="P104" s="50">
        <v>10</v>
      </c>
      <c r="Q104" s="50">
        <v>45.4</v>
      </c>
      <c r="R104" s="50">
        <v>48.8</v>
      </c>
      <c r="S104" s="50">
        <v>28.2</v>
      </c>
      <c r="T104" s="50">
        <v>43</v>
      </c>
      <c r="U104" s="50">
        <v>6.85</v>
      </c>
      <c r="V104" s="50">
        <v>57.6</v>
      </c>
      <c r="W104" s="50">
        <v>54</v>
      </c>
      <c r="X104" s="50">
        <v>393</v>
      </c>
      <c r="Y104" s="50">
        <v>11.27</v>
      </c>
      <c r="Z104" s="50">
        <v>22.8</v>
      </c>
      <c r="AA104" s="50">
        <v>5.51</v>
      </c>
      <c r="AB104" s="50"/>
      <c r="AC104" s="50"/>
      <c r="AD104" s="50"/>
      <c r="AE104" s="50"/>
      <c r="AF104" s="50"/>
      <c r="AG104" s="50"/>
      <c r="AH104" s="50"/>
      <c r="AI104" s="50"/>
      <c r="AJ104" s="50"/>
    </row>
    <row r="105" spans="1:36" ht="15" customHeight="1" x14ac:dyDescent="0.25">
      <c r="A105" s="50">
        <v>21</v>
      </c>
      <c r="B105" s="50" t="s">
        <v>923</v>
      </c>
      <c r="C105" s="50" t="s">
        <v>1357</v>
      </c>
      <c r="D105" s="50">
        <v>41</v>
      </c>
      <c r="E105" s="50" t="s">
        <v>1359</v>
      </c>
      <c r="F105" s="50">
        <v>12</v>
      </c>
      <c r="G105" s="50">
        <v>5.6</v>
      </c>
      <c r="H105" s="50">
        <v>55</v>
      </c>
      <c r="I105" s="50">
        <v>2.86</v>
      </c>
      <c r="J105" s="50">
        <v>112</v>
      </c>
      <c r="K105" s="50">
        <v>83</v>
      </c>
      <c r="L105" s="50">
        <v>5.0199999999999996</v>
      </c>
      <c r="M105" s="50">
        <v>4.53</v>
      </c>
      <c r="N105" s="50">
        <v>39</v>
      </c>
      <c r="O105" s="50">
        <v>10.9</v>
      </c>
      <c r="P105" s="50">
        <v>8.6</v>
      </c>
      <c r="Q105" s="50">
        <v>42.2</v>
      </c>
      <c r="R105" s="50">
        <v>48.1</v>
      </c>
      <c r="S105" s="50">
        <v>28.8</v>
      </c>
      <c r="T105" s="50">
        <v>48</v>
      </c>
      <c r="U105" s="50">
        <v>5.85</v>
      </c>
      <c r="V105" s="50">
        <v>62.3</v>
      </c>
      <c r="W105" s="50">
        <v>60</v>
      </c>
      <c r="X105" s="50">
        <v>419</v>
      </c>
      <c r="Y105" s="50">
        <v>10.94</v>
      </c>
      <c r="Z105" s="50">
        <v>23.8</v>
      </c>
      <c r="AA105" s="50">
        <v>5.4</v>
      </c>
      <c r="AB105" s="50"/>
      <c r="AC105" s="50"/>
      <c r="AD105" s="50"/>
      <c r="AE105" s="50"/>
      <c r="AF105" s="50"/>
      <c r="AG105" s="50"/>
      <c r="AH105" s="50"/>
      <c r="AI105" s="50"/>
      <c r="AJ105" s="50"/>
    </row>
    <row r="106" spans="1:36" ht="15" customHeight="1" x14ac:dyDescent="0.25">
      <c r="A106" s="50">
        <v>21</v>
      </c>
      <c r="B106" s="50" t="s">
        <v>923</v>
      </c>
      <c r="C106" s="50" t="s">
        <v>1357</v>
      </c>
      <c r="D106" s="50">
        <v>41</v>
      </c>
      <c r="E106" s="50" t="s">
        <v>1359</v>
      </c>
      <c r="F106" s="50">
        <v>21</v>
      </c>
      <c r="G106" s="50">
        <v>4.2</v>
      </c>
      <c r="H106" s="50">
        <v>51</v>
      </c>
      <c r="I106" s="50">
        <v>2.66</v>
      </c>
      <c r="J106" s="50">
        <v>120</v>
      </c>
      <c r="K106" s="50">
        <v>71</v>
      </c>
      <c r="L106" s="50">
        <v>3.99</v>
      </c>
      <c r="M106" s="50">
        <v>3.95</v>
      </c>
      <c r="N106" s="50">
        <v>35</v>
      </c>
      <c r="O106" s="50">
        <v>10.3</v>
      </c>
      <c r="P106" s="50">
        <v>8.4</v>
      </c>
      <c r="Q106" s="50">
        <v>38.4</v>
      </c>
      <c r="R106" s="50">
        <v>58.7</v>
      </c>
      <c r="S106" s="50">
        <v>36.700000000000003</v>
      </c>
      <c r="T106" s="50">
        <v>61</v>
      </c>
      <c r="U106" s="50">
        <v>5.55</v>
      </c>
      <c r="V106" s="50">
        <v>65.3</v>
      </c>
      <c r="W106" s="50">
        <v>67</v>
      </c>
      <c r="X106" s="50">
        <v>473</v>
      </c>
      <c r="Y106" s="50">
        <v>9.8699999999999992</v>
      </c>
      <c r="Z106" s="50">
        <v>30.7</v>
      </c>
      <c r="AA106" s="50">
        <v>6.43</v>
      </c>
      <c r="AB106" s="50"/>
      <c r="AC106" s="50"/>
      <c r="AD106" s="50"/>
      <c r="AE106" s="50"/>
      <c r="AF106" s="50"/>
      <c r="AG106" s="50"/>
      <c r="AH106" s="50"/>
      <c r="AI106" s="50"/>
      <c r="AJ106" s="50"/>
    </row>
    <row r="107" spans="1:36" ht="15" customHeight="1" x14ac:dyDescent="0.25">
      <c r="A107" s="50">
        <v>22</v>
      </c>
      <c r="B107" s="50" t="s">
        <v>923</v>
      </c>
      <c r="C107" s="50" t="s">
        <v>1352</v>
      </c>
      <c r="D107" s="50">
        <v>29</v>
      </c>
      <c r="E107" s="50" t="s">
        <v>1353</v>
      </c>
      <c r="F107" s="50">
        <v>0</v>
      </c>
      <c r="G107" s="50">
        <v>7.2</v>
      </c>
      <c r="H107" s="50">
        <v>51</v>
      </c>
      <c r="I107" s="50">
        <v>3.15</v>
      </c>
      <c r="J107" s="50">
        <v>127</v>
      </c>
      <c r="K107" s="50">
        <v>100</v>
      </c>
      <c r="L107" s="50">
        <v>7.72</v>
      </c>
      <c r="M107" s="50">
        <v>5.15</v>
      </c>
      <c r="N107" s="50">
        <v>52</v>
      </c>
      <c r="O107" s="50">
        <v>13.1</v>
      </c>
      <c r="P107" s="50">
        <v>7.2</v>
      </c>
      <c r="Q107" s="50">
        <v>41.1</v>
      </c>
      <c r="R107" s="50">
        <v>39.200000000000003</v>
      </c>
      <c r="S107" s="50">
        <v>15.2</v>
      </c>
      <c r="T107" s="50">
        <v>35</v>
      </c>
      <c r="U107" s="50">
        <v>7.64</v>
      </c>
      <c r="V107" s="50">
        <v>62.7</v>
      </c>
      <c r="W107" s="50">
        <v>48</v>
      </c>
      <c r="X107" s="50">
        <v>260</v>
      </c>
      <c r="Y107" s="50">
        <v>15.56</v>
      </c>
      <c r="Z107" s="50">
        <v>31</v>
      </c>
      <c r="AA107" s="50">
        <v>5.9</v>
      </c>
      <c r="AB107" s="50"/>
      <c r="AC107" s="50"/>
      <c r="AD107" s="50"/>
      <c r="AE107" s="50"/>
      <c r="AF107" s="50"/>
      <c r="AG107" s="50"/>
      <c r="AH107" s="50"/>
      <c r="AI107" s="50"/>
      <c r="AJ107" s="50"/>
    </row>
    <row r="108" spans="1:36" ht="15" customHeight="1" x14ac:dyDescent="0.25">
      <c r="A108" s="50">
        <v>22</v>
      </c>
      <c r="B108" s="50" t="s">
        <v>923</v>
      </c>
      <c r="C108" s="50" t="s">
        <v>1352</v>
      </c>
      <c r="D108" s="50">
        <v>29</v>
      </c>
      <c r="E108" s="50" t="s">
        <v>1353</v>
      </c>
      <c r="F108" s="50">
        <v>4</v>
      </c>
      <c r="G108" s="50">
        <v>7.1</v>
      </c>
      <c r="H108" s="50">
        <v>51</v>
      </c>
      <c r="I108" s="50">
        <v>2.98</v>
      </c>
      <c r="J108" s="50">
        <v>130</v>
      </c>
      <c r="K108" s="50">
        <v>94</v>
      </c>
      <c r="L108" s="50">
        <v>7.49</v>
      </c>
      <c r="M108" s="50">
        <v>5.24</v>
      </c>
      <c r="N108" s="50">
        <v>54</v>
      </c>
      <c r="O108" s="50">
        <v>13.1</v>
      </c>
      <c r="P108" s="50">
        <v>7.3</v>
      </c>
      <c r="Q108" s="50">
        <v>42.5</v>
      </c>
      <c r="R108" s="50">
        <v>41.4</v>
      </c>
      <c r="S108" s="50">
        <v>14.5</v>
      </c>
      <c r="T108" s="50">
        <v>38</v>
      </c>
      <c r="U108" s="50">
        <v>8.2899999999999991</v>
      </c>
      <c r="V108" s="50">
        <v>65.3</v>
      </c>
      <c r="W108" s="50">
        <v>43</v>
      </c>
      <c r="X108" s="50">
        <v>257</v>
      </c>
      <c r="Y108" s="50">
        <v>15.22</v>
      </c>
      <c r="Z108" s="50">
        <v>30.1</v>
      </c>
      <c r="AA108" s="50">
        <v>5.96</v>
      </c>
      <c r="AB108" s="50"/>
      <c r="AC108" s="50"/>
      <c r="AD108" s="50"/>
      <c r="AE108" s="50"/>
      <c r="AF108" s="50"/>
      <c r="AG108" s="50"/>
      <c r="AH108" s="50"/>
      <c r="AI108" s="50"/>
      <c r="AJ108" s="50"/>
    </row>
    <row r="109" spans="1:36" ht="15" customHeight="1" x14ac:dyDescent="0.25">
      <c r="A109" s="50">
        <v>22</v>
      </c>
      <c r="B109" s="50" t="s">
        <v>923</v>
      </c>
      <c r="C109" s="50" t="s">
        <v>1352</v>
      </c>
      <c r="D109" s="50">
        <v>29</v>
      </c>
      <c r="E109" s="50" t="s">
        <v>1353</v>
      </c>
      <c r="F109" s="50">
        <v>8</v>
      </c>
      <c r="G109" s="50">
        <v>6.4</v>
      </c>
      <c r="H109" s="50">
        <v>48</v>
      </c>
      <c r="I109" s="50">
        <v>2.81</v>
      </c>
      <c r="J109" s="50">
        <v>132</v>
      </c>
      <c r="K109" s="50">
        <v>89</v>
      </c>
      <c r="L109" s="50">
        <v>6.8</v>
      </c>
      <c r="M109" s="50">
        <v>4.6500000000000004</v>
      </c>
      <c r="N109" s="50">
        <v>50</v>
      </c>
      <c r="O109" s="50">
        <v>11.9</v>
      </c>
      <c r="P109" s="50">
        <v>7.3</v>
      </c>
      <c r="Q109" s="50">
        <v>39.5</v>
      </c>
      <c r="R109" s="50">
        <v>42.7</v>
      </c>
      <c r="S109" s="50">
        <v>17</v>
      </c>
      <c r="T109" s="50">
        <v>43</v>
      </c>
      <c r="U109" s="50">
        <v>7.69</v>
      </c>
      <c r="V109" s="50">
        <v>65.7</v>
      </c>
      <c r="W109" s="50">
        <v>48</v>
      </c>
      <c r="X109" s="50">
        <v>314</v>
      </c>
      <c r="Y109" s="50">
        <v>14.36</v>
      </c>
      <c r="Z109" s="50">
        <v>32.299999999999997</v>
      </c>
      <c r="AA109" s="50">
        <v>6.06</v>
      </c>
      <c r="AB109" s="50"/>
      <c r="AC109" s="50"/>
      <c r="AD109" s="50"/>
      <c r="AE109" s="50"/>
      <c r="AF109" s="50"/>
      <c r="AG109" s="50"/>
      <c r="AH109" s="50"/>
      <c r="AI109" s="50"/>
      <c r="AJ109" s="50"/>
    </row>
    <row r="110" spans="1:36" ht="15" customHeight="1" x14ac:dyDescent="0.25">
      <c r="A110" s="50">
        <v>22</v>
      </c>
      <c r="B110" s="50" t="s">
        <v>923</v>
      </c>
      <c r="C110" s="50" t="s">
        <v>1352</v>
      </c>
      <c r="D110" s="50">
        <v>29</v>
      </c>
      <c r="E110" s="50" t="s">
        <v>1353</v>
      </c>
      <c r="F110" s="50">
        <v>12</v>
      </c>
      <c r="G110" s="50">
        <v>6</v>
      </c>
      <c r="H110" s="50">
        <v>47</v>
      </c>
      <c r="I110" s="50">
        <v>2.56</v>
      </c>
      <c r="J110" s="50">
        <v>136</v>
      </c>
      <c r="K110" s="50">
        <v>83</v>
      </c>
      <c r="L110" s="50">
        <v>6.11</v>
      </c>
      <c r="M110" s="50">
        <v>4.41</v>
      </c>
      <c r="N110" s="50">
        <v>48</v>
      </c>
      <c r="O110" s="50">
        <v>11.8</v>
      </c>
      <c r="P110" s="50">
        <v>6.9</v>
      </c>
      <c r="Q110" s="50">
        <v>37.700000000000003</v>
      </c>
      <c r="R110" s="50">
        <v>46</v>
      </c>
      <c r="S110" s="50">
        <v>18.3</v>
      </c>
      <c r="T110" s="50">
        <v>44</v>
      </c>
      <c r="U110" s="50">
        <v>6.51</v>
      </c>
      <c r="V110" s="50">
        <v>63.9</v>
      </c>
      <c r="W110" s="50">
        <v>51</v>
      </c>
      <c r="X110" s="50">
        <v>316</v>
      </c>
      <c r="Y110" s="50">
        <v>13.64</v>
      </c>
      <c r="Z110" s="50">
        <v>34.4</v>
      </c>
      <c r="AA110" s="50">
        <v>6.29</v>
      </c>
      <c r="AB110" s="50"/>
      <c r="AC110" s="50"/>
      <c r="AD110" s="50"/>
      <c r="AE110" s="50"/>
      <c r="AF110" s="50"/>
      <c r="AG110" s="50"/>
      <c r="AH110" s="50"/>
      <c r="AI110" s="50"/>
      <c r="AJ110" s="50"/>
    </row>
    <row r="111" spans="1:36" ht="15" customHeight="1" x14ac:dyDescent="0.25">
      <c r="A111" s="50">
        <v>22</v>
      </c>
      <c r="B111" s="50" t="s">
        <v>923</v>
      </c>
      <c r="C111" s="50" t="s">
        <v>1352</v>
      </c>
      <c r="D111" s="50">
        <v>29</v>
      </c>
      <c r="E111" s="50" t="s">
        <v>1353</v>
      </c>
      <c r="F111" s="50">
        <v>21</v>
      </c>
      <c r="G111" s="50">
        <v>4.8</v>
      </c>
      <c r="H111" s="50">
        <v>42</v>
      </c>
      <c r="I111" s="50">
        <v>2.31</v>
      </c>
      <c r="J111" s="50">
        <v>144</v>
      </c>
      <c r="K111" s="50">
        <v>71</v>
      </c>
      <c r="L111" s="50">
        <v>5.15</v>
      </c>
      <c r="M111" s="50">
        <v>3.7</v>
      </c>
      <c r="N111" s="50">
        <v>41</v>
      </c>
      <c r="O111" s="50">
        <v>10.4</v>
      </c>
      <c r="P111" s="50">
        <v>6.2</v>
      </c>
      <c r="Q111" s="50">
        <v>31.3</v>
      </c>
      <c r="R111" s="50">
        <v>52.3</v>
      </c>
      <c r="S111" s="50">
        <v>19</v>
      </c>
      <c r="T111" s="50">
        <v>57</v>
      </c>
      <c r="U111" s="50">
        <v>6.49</v>
      </c>
      <c r="V111" s="50">
        <v>72</v>
      </c>
      <c r="W111" s="50">
        <v>55</v>
      </c>
      <c r="X111" s="50">
        <v>356</v>
      </c>
      <c r="Y111" s="50">
        <v>12.13</v>
      </c>
      <c r="Z111" s="50">
        <v>34.6</v>
      </c>
      <c r="AA111" s="50">
        <v>6.14</v>
      </c>
      <c r="AB111" s="50"/>
      <c r="AC111" s="50"/>
      <c r="AD111" s="50"/>
      <c r="AE111" s="50"/>
      <c r="AF111" s="50"/>
      <c r="AG111" s="50"/>
      <c r="AH111" s="50"/>
      <c r="AI111" s="50"/>
      <c r="AJ111" s="50"/>
    </row>
    <row r="112" spans="1:36" ht="15" customHeight="1" x14ac:dyDescent="0.25">
      <c r="A112" s="50">
        <v>23</v>
      </c>
      <c r="B112" s="50" t="s">
        <v>923</v>
      </c>
      <c r="C112" s="50" t="s">
        <v>1352</v>
      </c>
      <c r="D112" s="50">
        <v>22</v>
      </c>
      <c r="E112" s="50" t="s">
        <v>1353</v>
      </c>
      <c r="F112" s="50">
        <v>0</v>
      </c>
      <c r="G112" s="50">
        <v>6.5</v>
      </c>
      <c r="H112" s="50">
        <v>61</v>
      </c>
      <c r="I112" s="50">
        <v>2.71</v>
      </c>
      <c r="J112" s="50">
        <v>83</v>
      </c>
      <c r="K112" s="50">
        <v>100</v>
      </c>
      <c r="L112" s="50">
        <v>6.71</v>
      </c>
      <c r="M112" s="50">
        <v>6.06</v>
      </c>
      <c r="N112" s="50">
        <v>45</v>
      </c>
      <c r="O112" s="50">
        <v>11.3</v>
      </c>
      <c r="P112" s="50">
        <v>9.1999999999999993</v>
      </c>
      <c r="Q112" s="50">
        <v>35.200000000000003</v>
      </c>
      <c r="R112" s="50">
        <v>32</v>
      </c>
      <c r="S112" s="50">
        <v>12</v>
      </c>
      <c r="T112" s="50">
        <v>40</v>
      </c>
      <c r="U112" s="50">
        <v>14.54</v>
      </c>
      <c r="V112" s="50">
        <v>58.9</v>
      </c>
      <c r="W112" s="50">
        <v>32</v>
      </c>
      <c r="X112" s="50">
        <v>264</v>
      </c>
      <c r="Y112" s="50">
        <v>18.53</v>
      </c>
      <c r="Z112" s="50">
        <v>27.4</v>
      </c>
      <c r="AA112" s="50">
        <v>5.16</v>
      </c>
      <c r="AB112" s="50"/>
      <c r="AC112" s="50"/>
      <c r="AD112" s="50"/>
      <c r="AE112" s="50"/>
      <c r="AF112" s="50"/>
      <c r="AG112" s="50"/>
      <c r="AH112" s="50"/>
      <c r="AI112" s="50"/>
      <c r="AJ112" s="50"/>
    </row>
    <row r="113" spans="1:36" ht="15" customHeight="1" x14ac:dyDescent="0.25">
      <c r="A113" s="50">
        <v>23</v>
      </c>
      <c r="B113" s="50" t="s">
        <v>923</v>
      </c>
      <c r="C113" s="50" t="s">
        <v>1352</v>
      </c>
      <c r="D113" s="50">
        <v>22</v>
      </c>
      <c r="E113" s="50" t="s">
        <v>1353</v>
      </c>
      <c r="F113" s="50">
        <v>4</v>
      </c>
      <c r="G113" s="50">
        <v>6</v>
      </c>
      <c r="H113" s="50">
        <v>58</v>
      </c>
      <c r="I113" s="50">
        <v>2.54</v>
      </c>
      <c r="J113" s="50">
        <v>87</v>
      </c>
      <c r="K113" s="50">
        <v>94</v>
      </c>
      <c r="L113" s="50">
        <v>5.97</v>
      </c>
      <c r="M113" s="50">
        <v>6.05</v>
      </c>
      <c r="N113" s="50">
        <v>42</v>
      </c>
      <c r="O113" s="50">
        <v>11.2</v>
      </c>
      <c r="P113" s="50">
        <v>8.6</v>
      </c>
      <c r="Q113" s="50">
        <v>37.700000000000003</v>
      </c>
      <c r="R113" s="50">
        <v>39.200000000000003</v>
      </c>
      <c r="S113" s="50">
        <v>14.3</v>
      </c>
      <c r="T113" s="50">
        <v>42</v>
      </c>
      <c r="U113" s="50">
        <v>13.24</v>
      </c>
      <c r="V113" s="50">
        <v>59.7</v>
      </c>
      <c r="W113" s="50">
        <v>39</v>
      </c>
      <c r="X113" s="50">
        <v>281</v>
      </c>
      <c r="Y113" s="50">
        <v>17.52</v>
      </c>
      <c r="Z113" s="50">
        <v>27.5</v>
      </c>
      <c r="AA113" s="50">
        <v>5.32</v>
      </c>
      <c r="AB113" s="50"/>
      <c r="AC113" s="50"/>
      <c r="AD113" s="50"/>
      <c r="AE113" s="50"/>
      <c r="AF113" s="50"/>
      <c r="AG113" s="50"/>
      <c r="AH113" s="50"/>
      <c r="AI113" s="50"/>
      <c r="AJ113" s="50"/>
    </row>
    <row r="114" spans="1:36" ht="15" customHeight="1" x14ac:dyDescent="0.25">
      <c r="A114" s="50">
        <v>23</v>
      </c>
      <c r="B114" s="50" t="s">
        <v>923</v>
      </c>
      <c r="C114" s="50" t="s">
        <v>1352</v>
      </c>
      <c r="D114" s="50">
        <v>22</v>
      </c>
      <c r="E114" s="50" t="s">
        <v>1353</v>
      </c>
      <c r="F114" s="50">
        <v>8</v>
      </c>
      <c r="G114" s="50">
        <v>5.9</v>
      </c>
      <c r="H114" s="50">
        <v>60</v>
      </c>
      <c r="I114" s="50">
        <v>2.44</v>
      </c>
      <c r="J114" s="50">
        <v>90</v>
      </c>
      <c r="K114" s="50">
        <v>89</v>
      </c>
      <c r="L114" s="50">
        <v>6.3</v>
      </c>
      <c r="M114" s="50">
        <v>5.68</v>
      </c>
      <c r="N114" s="50">
        <v>41</v>
      </c>
      <c r="O114" s="50">
        <v>12</v>
      </c>
      <c r="P114" s="50">
        <v>8.8000000000000007</v>
      </c>
      <c r="Q114" s="50">
        <v>37.6</v>
      </c>
      <c r="R114" s="50">
        <v>36.4</v>
      </c>
      <c r="S114" s="50">
        <v>15.9</v>
      </c>
      <c r="T114" s="50">
        <v>43</v>
      </c>
      <c r="U114" s="50">
        <v>13.59</v>
      </c>
      <c r="V114" s="50">
        <v>59.8</v>
      </c>
      <c r="W114" s="50">
        <v>38</v>
      </c>
      <c r="X114" s="50">
        <v>290</v>
      </c>
      <c r="Y114" s="50">
        <v>17.54</v>
      </c>
      <c r="Z114" s="50">
        <v>27.8</v>
      </c>
      <c r="AA114" s="50">
        <v>5.53</v>
      </c>
      <c r="AB114" s="50"/>
      <c r="AC114" s="50"/>
      <c r="AD114" s="50"/>
      <c r="AE114" s="50"/>
      <c r="AF114" s="50"/>
      <c r="AG114" s="50"/>
      <c r="AH114" s="50"/>
      <c r="AI114" s="50"/>
      <c r="AJ114" s="50"/>
    </row>
    <row r="115" spans="1:36" ht="15" customHeight="1" x14ac:dyDescent="0.25">
      <c r="A115" s="50">
        <v>23</v>
      </c>
      <c r="B115" s="50" t="s">
        <v>923</v>
      </c>
      <c r="C115" s="50" t="s">
        <v>1352</v>
      </c>
      <c r="D115" s="50">
        <v>22</v>
      </c>
      <c r="E115" s="50" t="s">
        <v>1353</v>
      </c>
      <c r="F115" s="50">
        <v>12</v>
      </c>
      <c r="G115" s="50">
        <v>5.5</v>
      </c>
      <c r="H115" s="50">
        <v>55</v>
      </c>
      <c r="I115" s="50">
        <v>2.33</v>
      </c>
      <c r="J115" s="50">
        <v>92</v>
      </c>
      <c r="K115" s="50">
        <v>83</v>
      </c>
      <c r="L115" s="50">
        <v>5.53</v>
      </c>
      <c r="M115" s="50">
        <v>5.21</v>
      </c>
      <c r="N115" s="50">
        <v>41</v>
      </c>
      <c r="O115" s="50">
        <v>10.7</v>
      </c>
      <c r="P115" s="50">
        <v>7.5</v>
      </c>
      <c r="Q115" s="50">
        <v>32.4</v>
      </c>
      <c r="R115" s="50">
        <v>40.5</v>
      </c>
      <c r="S115" s="50">
        <v>16.100000000000001</v>
      </c>
      <c r="T115" s="50">
        <v>44</v>
      </c>
      <c r="U115" s="50">
        <v>12.54</v>
      </c>
      <c r="V115" s="50">
        <v>60.4</v>
      </c>
      <c r="W115" s="50">
        <v>43</v>
      </c>
      <c r="X115" s="50">
        <v>307</v>
      </c>
      <c r="Y115" s="50">
        <v>16.84</v>
      </c>
      <c r="Z115" s="50">
        <v>29.6</v>
      </c>
      <c r="AA115" s="50">
        <v>5.8</v>
      </c>
      <c r="AB115" s="50"/>
      <c r="AC115" s="50"/>
      <c r="AD115" s="50"/>
      <c r="AE115" s="50"/>
      <c r="AF115" s="50"/>
      <c r="AG115" s="50"/>
      <c r="AH115" s="50"/>
      <c r="AI115" s="50"/>
      <c r="AJ115" s="50"/>
    </row>
    <row r="116" spans="1:36" ht="15" customHeight="1" x14ac:dyDescent="0.25">
      <c r="A116" s="50">
        <v>23</v>
      </c>
      <c r="B116" s="50" t="s">
        <v>923</v>
      </c>
      <c r="C116" s="50" t="s">
        <v>1352</v>
      </c>
      <c r="D116" s="50">
        <v>22</v>
      </c>
      <c r="E116" s="50" t="s">
        <v>1353</v>
      </c>
      <c r="F116" s="50">
        <v>21</v>
      </c>
      <c r="G116" s="50">
        <v>4.2</v>
      </c>
      <c r="H116" s="50">
        <v>53</v>
      </c>
      <c r="I116" s="50">
        <v>2</v>
      </c>
      <c r="J116" s="50">
        <v>97</v>
      </c>
      <c r="K116" s="50">
        <v>71</v>
      </c>
      <c r="L116" s="50">
        <v>4.95</v>
      </c>
      <c r="M116" s="50">
        <v>4.13</v>
      </c>
      <c r="N116" s="50">
        <v>34</v>
      </c>
      <c r="O116" s="50">
        <v>10.4</v>
      </c>
      <c r="P116" s="50">
        <v>7.8</v>
      </c>
      <c r="Q116" s="50">
        <v>30.9</v>
      </c>
      <c r="R116" s="50">
        <v>50.4</v>
      </c>
      <c r="S116" s="50">
        <v>23.7</v>
      </c>
      <c r="T116" s="50">
        <v>59</v>
      </c>
      <c r="U116" s="50">
        <v>10.07</v>
      </c>
      <c r="V116" s="50">
        <v>64.2</v>
      </c>
      <c r="W116" s="50">
        <v>47</v>
      </c>
      <c r="X116" s="50">
        <v>351</v>
      </c>
      <c r="Y116" s="50">
        <v>13.91</v>
      </c>
      <c r="Z116" s="50">
        <v>33.200000000000003</v>
      </c>
      <c r="AA116" s="50">
        <v>6.28</v>
      </c>
      <c r="AB116" s="50"/>
      <c r="AC116" s="50"/>
      <c r="AD116" s="50"/>
      <c r="AE116" s="50"/>
      <c r="AF116" s="50"/>
      <c r="AG116" s="50"/>
      <c r="AH116" s="50"/>
      <c r="AI116" s="50"/>
      <c r="AJ116" s="50"/>
    </row>
    <row r="117" spans="1:36" ht="15" customHeight="1" x14ac:dyDescent="0.25">
      <c r="A117" s="50">
        <v>24</v>
      </c>
      <c r="B117" s="50" t="s">
        <v>923</v>
      </c>
      <c r="C117" s="50" t="s">
        <v>1352</v>
      </c>
      <c r="D117" s="50">
        <v>30</v>
      </c>
      <c r="E117" s="50" t="s">
        <v>1359</v>
      </c>
      <c r="F117" s="50">
        <v>0</v>
      </c>
      <c r="G117" s="50">
        <v>6.9</v>
      </c>
      <c r="H117" s="50">
        <v>37</v>
      </c>
      <c r="I117" s="50">
        <v>3.32</v>
      </c>
      <c r="J117" s="50">
        <v>106</v>
      </c>
      <c r="K117" s="50">
        <v>100</v>
      </c>
      <c r="L117" s="50">
        <v>6.65</v>
      </c>
      <c r="M117" s="50">
        <v>6.65</v>
      </c>
      <c r="N117" s="50">
        <v>45</v>
      </c>
      <c r="O117" s="50">
        <v>13.2</v>
      </c>
      <c r="P117" s="50">
        <v>10.5</v>
      </c>
      <c r="Q117" s="50">
        <v>39</v>
      </c>
      <c r="R117" s="50">
        <v>28.9</v>
      </c>
      <c r="S117" s="50">
        <v>20.9</v>
      </c>
      <c r="T117" s="50">
        <v>35</v>
      </c>
      <c r="U117" s="50">
        <v>5.57</v>
      </c>
      <c r="V117" s="50">
        <v>60.9</v>
      </c>
      <c r="W117" s="50">
        <v>41</v>
      </c>
      <c r="X117" s="50">
        <v>386</v>
      </c>
      <c r="Y117" s="50">
        <v>16.739999999999998</v>
      </c>
      <c r="Z117" s="50">
        <v>21.4</v>
      </c>
      <c r="AA117" s="50">
        <v>4.9000000000000004</v>
      </c>
      <c r="AB117" s="50"/>
      <c r="AC117" s="50"/>
      <c r="AD117" s="50"/>
      <c r="AE117" s="50"/>
      <c r="AF117" s="50"/>
      <c r="AG117" s="50"/>
      <c r="AH117" s="50"/>
      <c r="AI117" s="50"/>
      <c r="AJ117" s="50"/>
    </row>
    <row r="118" spans="1:36" ht="15" customHeight="1" x14ac:dyDescent="0.25">
      <c r="A118" s="50">
        <v>24</v>
      </c>
      <c r="B118" s="50" t="s">
        <v>923</v>
      </c>
      <c r="C118" s="50" t="s">
        <v>1352</v>
      </c>
      <c r="D118" s="50">
        <v>30</v>
      </c>
      <c r="E118" s="50" t="s">
        <v>1359</v>
      </c>
      <c r="F118" s="50">
        <v>4</v>
      </c>
      <c r="G118" s="50">
        <v>6.4</v>
      </c>
      <c r="H118" s="50">
        <v>38</v>
      </c>
      <c r="I118" s="50">
        <v>3.08</v>
      </c>
      <c r="J118" s="50">
        <v>103</v>
      </c>
      <c r="K118" s="50">
        <v>94</v>
      </c>
      <c r="L118" s="50">
        <v>6.03</v>
      </c>
      <c r="M118" s="50">
        <v>6.44</v>
      </c>
      <c r="N118" s="50">
        <v>43</v>
      </c>
      <c r="O118" s="50">
        <v>13.4</v>
      </c>
      <c r="P118" s="50">
        <v>11</v>
      </c>
      <c r="Q118" s="50">
        <v>38.700000000000003</v>
      </c>
      <c r="R118" s="50">
        <v>35.200000000000003</v>
      </c>
      <c r="S118" s="50">
        <v>21.4</v>
      </c>
      <c r="T118" s="50">
        <v>38</v>
      </c>
      <c r="U118" s="50">
        <v>5.31</v>
      </c>
      <c r="V118" s="50">
        <v>61.5</v>
      </c>
      <c r="W118" s="50">
        <v>49</v>
      </c>
      <c r="X118" s="50">
        <v>396</v>
      </c>
      <c r="Y118" s="50">
        <v>15.76</v>
      </c>
      <c r="Z118" s="50">
        <v>23.7</v>
      </c>
      <c r="AA118" s="50">
        <v>5</v>
      </c>
      <c r="AB118" s="50"/>
      <c r="AC118" s="50"/>
      <c r="AD118" s="50"/>
      <c r="AE118" s="50"/>
      <c r="AF118" s="50"/>
      <c r="AG118" s="50"/>
      <c r="AH118" s="50"/>
      <c r="AI118" s="50"/>
      <c r="AJ118" s="50"/>
    </row>
    <row r="119" spans="1:36" ht="15" customHeight="1" x14ac:dyDescent="0.25">
      <c r="A119" s="50">
        <v>24</v>
      </c>
      <c r="B119" s="50" t="s">
        <v>923</v>
      </c>
      <c r="C119" s="50" t="s">
        <v>1352</v>
      </c>
      <c r="D119" s="50">
        <v>30</v>
      </c>
      <c r="E119" s="50" t="s">
        <v>1359</v>
      </c>
      <c r="F119" s="50">
        <v>8</v>
      </c>
      <c r="G119" s="50">
        <v>5.6</v>
      </c>
      <c r="H119" s="50">
        <v>35</v>
      </c>
      <c r="I119" s="50">
        <v>2.99</v>
      </c>
      <c r="J119" s="50">
        <v>108</v>
      </c>
      <c r="K119" s="50">
        <v>89</v>
      </c>
      <c r="L119" s="50">
        <v>5.52</v>
      </c>
      <c r="M119" s="50">
        <v>5.91</v>
      </c>
      <c r="N119" s="50">
        <v>39</v>
      </c>
      <c r="O119" s="50">
        <v>12</v>
      </c>
      <c r="P119" s="50">
        <v>10.4</v>
      </c>
      <c r="Q119" s="50">
        <v>37.700000000000003</v>
      </c>
      <c r="R119" s="50">
        <v>38.9</v>
      </c>
      <c r="S119" s="50">
        <v>24.3</v>
      </c>
      <c r="T119" s="50">
        <v>37</v>
      </c>
      <c r="U119" s="50">
        <v>5.51</v>
      </c>
      <c r="V119" s="50">
        <v>63.5</v>
      </c>
      <c r="W119" s="50">
        <v>52</v>
      </c>
      <c r="X119" s="50">
        <v>423</v>
      </c>
      <c r="Y119" s="50">
        <v>14.78</v>
      </c>
      <c r="Z119" s="50">
        <v>25.9</v>
      </c>
      <c r="AA119" s="50">
        <v>5.56</v>
      </c>
      <c r="AB119" s="50"/>
      <c r="AC119" s="50"/>
      <c r="AD119" s="50"/>
      <c r="AE119" s="50"/>
      <c r="AF119" s="50"/>
      <c r="AG119" s="50"/>
      <c r="AH119" s="50"/>
      <c r="AI119" s="50"/>
      <c r="AJ119" s="50"/>
    </row>
    <row r="120" spans="1:36" ht="15" customHeight="1" x14ac:dyDescent="0.25">
      <c r="A120" s="50">
        <v>24</v>
      </c>
      <c r="B120" s="50" t="s">
        <v>923</v>
      </c>
      <c r="C120" s="50" t="s">
        <v>1352</v>
      </c>
      <c r="D120" s="50">
        <v>30</v>
      </c>
      <c r="E120" s="50" t="s">
        <v>1359</v>
      </c>
      <c r="F120" s="50">
        <v>12</v>
      </c>
      <c r="G120" s="50">
        <v>5.4</v>
      </c>
      <c r="H120" s="50">
        <v>31</v>
      </c>
      <c r="I120" s="50">
        <v>2.91</v>
      </c>
      <c r="J120" s="50">
        <v>111</v>
      </c>
      <c r="K120" s="50">
        <v>83</v>
      </c>
      <c r="L120" s="50">
        <v>4.9800000000000004</v>
      </c>
      <c r="M120" s="50">
        <v>5.91</v>
      </c>
      <c r="N120" s="50">
        <v>39</v>
      </c>
      <c r="O120" s="50">
        <v>10.9</v>
      </c>
      <c r="P120" s="50">
        <v>9.4</v>
      </c>
      <c r="Q120" s="50">
        <v>35.1</v>
      </c>
      <c r="R120" s="50">
        <v>39.4</v>
      </c>
      <c r="S120" s="50">
        <v>25.9</v>
      </c>
      <c r="T120" s="50">
        <v>40</v>
      </c>
      <c r="U120" s="50">
        <v>5.69</v>
      </c>
      <c r="V120" s="50">
        <v>64.3</v>
      </c>
      <c r="W120" s="50">
        <v>52</v>
      </c>
      <c r="X120" s="50">
        <v>442</v>
      </c>
      <c r="Y120" s="50">
        <v>13.49</v>
      </c>
      <c r="Z120" s="50">
        <v>29.6</v>
      </c>
      <c r="AA120" s="50">
        <v>5.32</v>
      </c>
      <c r="AB120" s="50"/>
      <c r="AC120" s="50"/>
      <c r="AD120" s="50"/>
      <c r="AE120" s="50"/>
      <c r="AF120" s="50"/>
      <c r="AG120" s="50"/>
      <c r="AH120" s="50"/>
      <c r="AI120" s="50"/>
      <c r="AJ120" s="50"/>
    </row>
    <row r="121" spans="1:36" ht="15" customHeight="1" x14ac:dyDescent="0.25">
      <c r="A121" s="50">
        <v>24</v>
      </c>
      <c r="B121" s="50" t="s">
        <v>923</v>
      </c>
      <c r="C121" s="50" t="s">
        <v>1352</v>
      </c>
      <c r="D121" s="50">
        <v>30</v>
      </c>
      <c r="E121" s="50" t="s">
        <v>1359</v>
      </c>
      <c r="F121" s="50">
        <v>21</v>
      </c>
      <c r="G121" s="50">
        <v>4.4000000000000004</v>
      </c>
      <c r="H121" s="50">
        <v>28</v>
      </c>
      <c r="I121" s="50">
        <v>2.4500000000000002</v>
      </c>
      <c r="J121" s="50">
        <v>117</v>
      </c>
      <c r="K121" s="50">
        <v>71</v>
      </c>
      <c r="L121" s="50">
        <v>4.38</v>
      </c>
      <c r="M121" s="50">
        <v>4.76</v>
      </c>
      <c r="N121" s="50">
        <v>36</v>
      </c>
      <c r="O121" s="50">
        <v>9.6999999999999993</v>
      </c>
      <c r="P121" s="50">
        <v>9.1999999999999993</v>
      </c>
      <c r="Q121" s="50">
        <v>32.9</v>
      </c>
      <c r="R121" s="50">
        <v>49.8</v>
      </c>
      <c r="S121" s="50">
        <v>26.7</v>
      </c>
      <c r="T121" s="50">
        <v>45</v>
      </c>
      <c r="U121" s="50">
        <v>5.18</v>
      </c>
      <c r="V121" s="50">
        <v>65.900000000000006</v>
      </c>
      <c r="W121" s="50">
        <v>60</v>
      </c>
      <c r="X121" s="50">
        <v>449</v>
      </c>
      <c r="Y121" s="50">
        <v>12.3</v>
      </c>
      <c r="Z121" s="50">
        <v>30.2</v>
      </c>
      <c r="AA121" s="50">
        <v>5.55</v>
      </c>
      <c r="AB121" s="50"/>
      <c r="AC121" s="50"/>
      <c r="AD121" s="50"/>
      <c r="AE121" s="50"/>
      <c r="AF121" s="50"/>
      <c r="AG121" s="50"/>
      <c r="AH121" s="50"/>
      <c r="AI121" s="50"/>
      <c r="AJ121" s="50"/>
    </row>
    <row r="122" spans="1:36" ht="15" customHeight="1" x14ac:dyDescent="0.25">
      <c r="A122" s="50">
        <v>25</v>
      </c>
      <c r="B122" s="50" t="s">
        <v>923</v>
      </c>
      <c r="C122" s="50" t="s">
        <v>1357</v>
      </c>
      <c r="D122" s="50">
        <v>41</v>
      </c>
      <c r="E122" s="50" t="s">
        <v>1355</v>
      </c>
      <c r="F122" s="50">
        <v>0</v>
      </c>
      <c r="G122" s="50">
        <v>6.2</v>
      </c>
      <c r="H122" s="50">
        <v>40</v>
      </c>
      <c r="I122" s="50">
        <v>3.2</v>
      </c>
      <c r="J122" s="50">
        <v>104</v>
      </c>
      <c r="K122" s="50">
        <v>100</v>
      </c>
      <c r="L122" s="50">
        <v>7.06</v>
      </c>
      <c r="M122" s="50">
        <v>5.81</v>
      </c>
      <c r="N122" s="50">
        <v>47</v>
      </c>
      <c r="O122" s="50">
        <v>13.9</v>
      </c>
      <c r="P122" s="50">
        <v>12</v>
      </c>
      <c r="Q122" s="50">
        <v>32.299999999999997</v>
      </c>
      <c r="R122" s="50">
        <v>42.7</v>
      </c>
      <c r="S122" s="50">
        <v>19.5</v>
      </c>
      <c r="T122" s="50">
        <v>40</v>
      </c>
      <c r="U122" s="50">
        <v>11.36</v>
      </c>
      <c r="V122" s="50">
        <v>57.3</v>
      </c>
      <c r="W122" s="50">
        <v>60</v>
      </c>
      <c r="X122" s="50">
        <v>419</v>
      </c>
      <c r="Y122" s="50">
        <v>13.4</v>
      </c>
      <c r="Z122" s="50">
        <v>29.2</v>
      </c>
      <c r="AA122" s="50">
        <v>4.57</v>
      </c>
      <c r="AB122" s="50"/>
      <c r="AC122" s="50"/>
      <c r="AD122" s="50"/>
      <c r="AE122" s="50"/>
      <c r="AF122" s="50"/>
      <c r="AG122" s="50"/>
      <c r="AH122" s="50"/>
      <c r="AI122" s="50"/>
      <c r="AJ122" s="50"/>
    </row>
    <row r="123" spans="1:36" ht="15" customHeight="1" x14ac:dyDescent="0.25">
      <c r="A123" s="50">
        <v>25</v>
      </c>
      <c r="B123" s="50" t="s">
        <v>923</v>
      </c>
      <c r="C123" s="50" t="s">
        <v>1357</v>
      </c>
      <c r="D123" s="50">
        <v>41</v>
      </c>
      <c r="E123" s="50" t="s">
        <v>1355</v>
      </c>
      <c r="F123" s="50">
        <v>4</v>
      </c>
      <c r="G123" s="50">
        <v>5.7</v>
      </c>
      <c r="H123" s="50">
        <v>40</v>
      </c>
      <c r="I123" s="50">
        <v>3.05</v>
      </c>
      <c r="J123" s="50">
        <v>107</v>
      </c>
      <c r="K123" s="50">
        <v>94</v>
      </c>
      <c r="L123" s="50">
        <v>6.41</v>
      </c>
      <c r="M123" s="50">
        <v>5.19</v>
      </c>
      <c r="N123" s="50">
        <v>47</v>
      </c>
      <c r="O123" s="50">
        <v>13.4</v>
      </c>
      <c r="P123" s="50">
        <v>11.1</v>
      </c>
      <c r="Q123" s="50">
        <v>33.299999999999997</v>
      </c>
      <c r="R123" s="50">
        <v>45.9</v>
      </c>
      <c r="S123" s="50">
        <v>22.2</v>
      </c>
      <c r="T123" s="50">
        <v>41</v>
      </c>
      <c r="U123" s="50">
        <v>10.79</v>
      </c>
      <c r="V123" s="50">
        <v>58.8</v>
      </c>
      <c r="W123" s="50">
        <v>63</v>
      </c>
      <c r="X123" s="50">
        <v>430</v>
      </c>
      <c r="Y123" s="50">
        <v>12.97</v>
      </c>
      <c r="Z123" s="50">
        <v>30.4</v>
      </c>
      <c r="AA123" s="50">
        <v>4.7</v>
      </c>
      <c r="AB123" s="50"/>
      <c r="AC123" s="50"/>
      <c r="AD123" s="50"/>
      <c r="AE123" s="50"/>
      <c r="AF123" s="50"/>
      <c r="AG123" s="50"/>
      <c r="AH123" s="50"/>
      <c r="AI123" s="50"/>
      <c r="AJ123" s="50"/>
    </row>
    <row r="124" spans="1:36" ht="15" customHeight="1" x14ac:dyDescent="0.25">
      <c r="A124" s="50">
        <v>25</v>
      </c>
      <c r="B124" s="50" t="s">
        <v>923</v>
      </c>
      <c r="C124" s="50" t="s">
        <v>1357</v>
      </c>
      <c r="D124" s="50">
        <v>41</v>
      </c>
      <c r="E124" s="50" t="s">
        <v>1355</v>
      </c>
      <c r="F124" s="50">
        <v>8</v>
      </c>
      <c r="G124" s="50">
        <v>5.3</v>
      </c>
      <c r="H124" s="50">
        <v>36</v>
      </c>
      <c r="I124" s="50">
        <v>2.94</v>
      </c>
      <c r="J124" s="50">
        <v>110</v>
      </c>
      <c r="K124" s="50">
        <v>89</v>
      </c>
      <c r="L124" s="50">
        <v>5.93</v>
      </c>
      <c r="M124" s="50">
        <v>4.97</v>
      </c>
      <c r="N124" s="50">
        <v>42</v>
      </c>
      <c r="O124" s="50">
        <v>13</v>
      </c>
      <c r="P124" s="50">
        <v>10.9</v>
      </c>
      <c r="Q124" s="50">
        <v>29.5</v>
      </c>
      <c r="R124" s="50">
        <v>47.3</v>
      </c>
      <c r="S124" s="50">
        <v>22.4</v>
      </c>
      <c r="T124" s="50">
        <v>49</v>
      </c>
      <c r="U124" s="50">
        <v>10.25</v>
      </c>
      <c r="V124" s="50">
        <v>61.3</v>
      </c>
      <c r="W124" s="50">
        <v>61</v>
      </c>
      <c r="X124" s="50">
        <v>424</v>
      </c>
      <c r="Y124" s="50">
        <v>13</v>
      </c>
      <c r="Z124" s="50">
        <v>31.6</v>
      </c>
      <c r="AA124" s="50">
        <v>4.84</v>
      </c>
      <c r="AB124" s="50"/>
      <c r="AC124" s="50"/>
      <c r="AD124" s="50"/>
      <c r="AE124" s="50"/>
      <c r="AF124" s="50"/>
      <c r="AG124" s="50"/>
      <c r="AH124" s="50"/>
      <c r="AI124" s="50"/>
      <c r="AJ124" s="50"/>
    </row>
    <row r="125" spans="1:36" ht="15" customHeight="1" x14ac:dyDescent="0.25">
      <c r="A125" s="50">
        <v>25</v>
      </c>
      <c r="B125" s="50" t="s">
        <v>923</v>
      </c>
      <c r="C125" s="50" t="s">
        <v>1357</v>
      </c>
      <c r="D125" s="50">
        <v>41</v>
      </c>
      <c r="E125" s="50" t="s">
        <v>1355</v>
      </c>
      <c r="F125" s="50">
        <v>12</v>
      </c>
      <c r="G125" s="50">
        <v>5</v>
      </c>
      <c r="H125" s="50">
        <v>35</v>
      </c>
      <c r="I125" s="50">
        <v>2.81</v>
      </c>
      <c r="J125" s="50">
        <v>113</v>
      </c>
      <c r="K125" s="50">
        <v>83</v>
      </c>
      <c r="L125" s="50">
        <v>5.79</v>
      </c>
      <c r="M125" s="50">
        <v>4.58</v>
      </c>
      <c r="N125" s="50">
        <v>42</v>
      </c>
      <c r="O125" s="50">
        <v>11.4</v>
      </c>
      <c r="P125" s="50">
        <v>11.6</v>
      </c>
      <c r="Q125" s="50">
        <v>32.5</v>
      </c>
      <c r="R125" s="50">
        <v>49.3</v>
      </c>
      <c r="S125" s="50">
        <v>24.9</v>
      </c>
      <c r="T125" s="50">
        <v>44</v>
      </c>
      <c r="U125" s="50">
        <v>10.14</v>
      </c>
      <c r="V125" s="50">
        <v>59.6</v>
      </c>
      <c r="W125" s="50">
        <v>63</v>
      </c>
      <c r="X125" s="50">
        <v>426</v>
      </c>
      <c r="Y125" s="50">
        <v>12.3</v>
      </c>
      <c r="Z125" s="50">
        <v>31.6</v>
      </c>
      <c r="AA125" s="50">
        <v>5.09</v>
      </c>
      <c r="AB125" s="50"/>
      <c r="AC125" s="50"/>
      <c r="AD125" s="50"/>
      <c r="AE125" s="50"/>
      <c r="AF125" s="50"/>
      <c r="AG125" s="50"/>
      <c r="AH125" s="50"/>
      <c r="AI125" s="50"/>
      <c r="AJ125" s="50"/>
    </row>
    <row r="126" spans="1:36" ht="15" customHeight="1" x14ac:dyDescent="0.25">
      <c r="A126" s="50">
        <v>25</v>
      </c>
      <c r="B126" s="50" t="s">
        <v>923</v>
      </c>
      <c r="C126" s="50" t="s">
        <v>1357</v>
      </c>
      <c r="D126" s="50">
        <v>41</v>
      </c>
      <c r="E126" s="50" t="s">
        <v>1355</v>
      </c>
      <c r="F126" s="50">
        <v>21</v>
      </c>
      <c r="G126" s="50">
        <v>4</v>
      </c>
      <c r="H126" s="50">
        <v>30</v>
      </c>
      <c r="I126" s="50">
        <v>2.41</v>
      </c>
      <c r="J126" s="50">
        <v>117</v>
      </c>
      <c r="K126" s="50">
        <v>71</v>
      </c>
      <c r="L126" s="50">
        <v>4.78</v>
      </c>
      <c r="M126" s="50">
        <v>3.49</v>
      </c>
      <c r="N126" s="50">
        <v>36</v>
      </c>
      <c r="O126" s="50">
        <v>11.4</v>
      </c>
      <c r="P126" s="50">
        <v>9.5</v>
      </c>
      <c r="Q126" s="50">
        <v>26.2</v>
      </c>
      <c r="R126" s="50">
        <v>60.4</v>
      </c>
      <c r="S126" s="50">
        <v>27.2</v>
      </c>
      <c r="T126" s="50">
        <v>56</v>
      </c>
      <c r="U126" s="50">
        <v>8.73</v>
      </c>
      <c r="V126" s="50">
        <v>66.5</v>
      </c>
      <c r="W126" s="50">
        <v>71</v>
      </c>
      <c r="X126" s="50">
        <v>475</v>
      </c>
      <c r="Y126" s="50">
        <v>11.83</v>
      </c>
      <c r="Z126" s="50">
        <v>35.5</v>
      </c>
      <c r="AA126" s="50">
        <v>5.1100000000000003</v>
      </c>
      <c r="AB126" s="50"/>
      <c r="AC126" s="50"/>
      <c r="AD126" s="50"/>
      <c r="AE126" s="50"/>
      <c r="AF126" s="50"/>
      <c r="AG126" s="50"/>
      <c r="AH126" s="50"/>
      <c r="AI126" s="50"/>
      <c r="AJ126" s="50"/>
    </row>
    <row r="127" spans="1:36" ht="15" customHeight="1" x14ac:dyDescent="0.25">
      <c r="A127" s="50">
        <v>26</v>
      </c>
      <c r="B127" s="50" t="s">
        <v>923</v>
      </c>
      <c r="C127" s="50" t="s">
        <v>1352</v>
      </c>
      <c r="D127" s="50">
        <v>41</v>
      </c>
      <c r="E127" s="50" t="s">
        <v>1360</v>
      </c>
      <c r="F127" s="50">
        <v>0</v>
      </c>
      <c r="G127" s="50">
        <v>7.1</v>
      </c>
      <c r="H127" s="50">
        <v>46</v>
      </c>
      <c r="I127" s="50">
        <v>4</v>
      </c>
      <c r="J127" s="50">
        <v>76</v>
      </c>
      <c r="K127" s="50">
        <v>100</v>
      </c>
      <c r="L127" s="50">
        <v>7.28</v>
      </c>
      <c r="M127" s="50">
        <v>7.45</v>
      </c>
      <c r="N127" s="50">
        <v>35</v>
      </c>
      <c r="O127" s="50">
        <v>14.2</v>
      </c>
      <c r="P127" s="50">
        <v>12.9</v>
      </c>
      <c r="Q127" s="50">
        <v>53.8</v>
      </c>
      <c r="R127" s="50">
        <v>36.299999999999997</v>
      </c>
      <c r="S127" s="50">
        <v>28.6</v>
      </c>
      <c r="T127" s="50">
        <v>28</v>
      </c>
      <c r="U127" s="50">
        <v>9.7100000000000009</v>
      </c>
      <c r="V127" s="50">
        <v>59.7</v>
      </c>
      <c r="W127" s="50">
        <v>61</v>
      </c>
      <c r="X127" s="50">
        <v>380</v>
      </c>
      <c r="Y127" s="50">
        <v>20.46</v>
      </c>
      <c r="Z127" s="50">
        <v>28.9</v>
      </c>
      <c r="AA127" s="50">
        <v>5.2</v>
      </c>
      <c r="AB127" s="50"/>
      <c r="AC127" s="50"/>
      <c r="AD127" s="50"/>
      <c r="AE127" s="50"/>
      <c r="AF127" s="50"/>
      <c r="AG127" s="50"/>
      <c r="AH127" s="50"/>
      <c r="AI127" s="50"/>
      <c r="AJ127" s="50"/>
    </row>
    <row r="128" spans="1:36" ht="15" customHeight="1" x14ac:dyDescent="0.25">
      <c r="A128" s="50">
        <v>26</v>
      </c>
      <c r="B128" s="50" t="s">
        <v>923</v>
      </c>
      <c r="C128" s="50" t="s">
        <v>1352</v>
      </c>
      <c r="D128" s="50">
        <v>41</v>
      </c>
      <c r="E128" s="50" t="s">
        <v>1360</v>
      </c>
      <c r="F128" s="50">
        <v>4</v>
      </c>
      <c r="G128" s="50">
        <v>6.8</v>
      </c>
      <c r="H128" s="50">
        <v>43</v>
      </c>
      <c r="I128" s="50">
        <v>3.81</v>
      </c>
      <c r="J128" s="50">
        <v>79</v>
      </c>
      <c r="K128" s="50">
        <v>94</v>
      </c>
      <c r="L128" s="50">
        <v>7.1</v>
      </c>
      <c r="M128" s="50">
        <v>7.36</v>
      </c>
      <c r="N128" s="50">
        <v>34</v>
      </c>
      <c r="O128" s="50">
        <v>13.2</v>
      </c>
      <c r="P128" s="50">
        <v>13.1</v>
      </c>
      <c r="Q128" s="50">
        <v>53</v>
      </c>
      <c r="R128" s="50">
        <v>39.1</v>
      </c>
      <c r="S128" s="50">
        <v>27.8</v>
      </c>
      <c r="T128" s="50">
        <v>32</v>
      </c>
      <c r="U128" s="50">
        <v>9.91</v>
      </c>
      <c r="V128" s="50">
        <v>60.1</v>
      </c>
      <c r="W128" s="50">
        <v>64</v>
      </c>
      <c r="X128" s="50">
        <v>377</v>
      </c>
      <c r="Y128" s="50">
        <v>19.850000000000001</v>
      </c>
      <c r="Z128" s="50">
        <v>31.8</v>
      </c>
      <c r="AA128" s="50">
        <v>4.99</v>
      </c>
      <c r="AB128" s="50"/>
      <c r="AC128" s="50"/>
      <c r="AD128" s="50"/>
      <c r="AE128" s="50"/>
      <c r="AF128" s="50"/>
      <c r="AG128" s="50"/>
      <c r="AH128" s="50"/>
      <c r="AI128" s="50"/>
      <c r="AJ128" s="50"/>
    </row>
    <row r="129" spans="1:36" ht="15" customHeight="1" x14ac:dyDescent="0.25">
      <c r="A129" s="50">
        <v>26</v>
      </c>
      <c r="B129" s="50" t="s">
        <v>923</v>
      </c>
      <c r="C129" s="50" t="s">
        <v>1352</v>
      </c>
      <c r="D129" s="50">
        <v>41</v>
      </c>
      <c r="E129" s="50" t="s">
        <v>1360</v>
      </c>
      <c r="F129" s="50">
        <v>8</v>
      </c>
      <c r="G129" s="50">
        <v>6.2</v>
      </c>
      <c r="H129" s="50">
        <v>41</v>
      </c>
      <c r="I129" s="50">
        <v>3.63</v>
      </c>
      <c r="J129" s="50">
        <v>82</v>
      </c>
      <c r="K129" s="50">
        <v>89</v>
      </c>
      <c r="L129" s="50">
        <v>6.35</v>
      </c>
      <c r="M129" s="50">
        <v>6.58</v>
      </c>
      <c r="N129" s="50">
        <v>34</v>
      </c>
      <c r="O129" s="50">
        <v>13.5</v>
      </c>
      <c r="P129" s="50">
        <v>12</v>
      </c>
      <c r="Q129" s="50">
        <v>49.6</v>
      </c>
      <c r="R129" s="50">
        <v>43.7</v>
      </c>
      <c r="S129" s="50">
        <v>28.7</v>
      </c>
      <c r="T129" s="50">
        <v>38</v>
      </c>
      <c r="U129" s="50">
        <v>9.14</v>
      </c>
      <c r="V129" s="50">
        <v>61.7</v>
      </c>
      <c r="W129" s="50">
        <v>62</v>
      </c>
      <c r="X129" s="50">
        <v>410</v>
      </c>
      <c r="Y129" s="50">
        <v>18.440000000000001</v>
      </c>
      <c r="Z129" s="50">
        <v>32.1</v>
      </c>
      <c r="AA129" s="50">
        <v>5.25</v>
      </c>
      <c r="AB129" s="50"/>
      <c r="AC129" s="50"/>
      <c r="AD129" s="50"/>
      <c r="AE129" s="50"/>
      <c r="AF129" s="50"/>
      <c r="AG129" s="50"/>
      <c r="AH129" s="50"/>
      <c r="AI129" s="50"/>
      <c r="AJ129" s="50"/>
    </row>
    <row r="130" spans="1:36" ht="15" customHeight="1" x14ac:dyDescent="0.25">
      <c r="A130" s="50">
        <v>26</v>
      </c>
      <c r="B130" s="50" t="s">
        <v>923</v>
      </c>
      <c r="C130" s="50" t="s">
        <v>1352</v>
      </c>
      <c r="D130" s="50">
        <v>41</v>
      </c>
      <c r="E130" s="50" t="s">
        <v>1360</v>
      </c>
      <c r="F130" s="50">
        <v>12</v>
      </c>
      <c r="G130" s="50">
        <v>6.2</v>
      </c>
      <c r="H130" s="50">
        <v>38</v>
      </c>
      <c r="I130" s="50">
        <v>3.51</v>
      </c>
      <c r="J130" s="50">
        <v>79</v>
      </c>
      <c r="K130" s="50">
        <v>83</v>
      </c>
      <c r="L130" s="50">
        <v>6.37</v>
      </c>
      <c r="M130" s="50">
        <v>6.73</v>
      </c>
      <c r="N130" s="50">
        <v>31</v>
      </c>
      <c r="O130" s="50">
        <v>13.2</v>
      </c>
      <c r="P130" s="50">
        <v>13</v>
      </c>
      <c r="Q130" s="50">
        <v>50.6</v>
      </c>
      <c r="R130" s="50">
        <v>42.9</v>
      </c>
      <c r="S130" s="50">
        <v>29.5</v>
      </c>
      <c r="T130" s="50">
        <v>36</v>
      </c>
      <c r="U130" s="50">
        <v>9.49</v>
      </c>
      <c r="V130" s="50">
        <v>61.1</v>
      </c>
      <c r="W130" s="50">
        <v>64</v>
      </c>
      <c r="X130" s="50">
        <v>400</v>
      </c>
      <c r="Y130" s="50">
        <v>18.850000000000001</v>
      </c>
      <c r="Z130" s="50">
        <v>31.7</v>
      </c>
      <c r="AA130" s="50">
        <v>5.4</v>
      </c>
      <c r="AB130" s="50"/>
      <c r="AC130" s="50"/>
      <c r="AD130" s="50"/>
      <c r="AE130" s="50"/>
      <c r="AF130" s="50"/>
      <c r="AG130" s="50"/>
      <c r="AH130" s="50"/>
      <c r="AI130" s="50"/>
      <c r="AJ130" s="50"/>
    </row>
    <row r="131" spans="1:36" ht="15" customHeight="1" x14ac:dyDescent="0.25">
      <c r="A131" s="50">
        <v>26</v>
      </c>
      <c r="B131" s="50" t="s">
        <v>923</v>
      </c>
      <c r="C131" s="50" t="s">
        <v>1352</v>
      </c>
      <c r="D131" s="50">
        <v>41</v>
      </c>
      <c r="E131" s="50" t="s">
        <v>1360</v>
      </c>
      <c r="F131" s="50">
        <v>21</v>
      </c>
      <c r="G131" s="50">
        <v>4.4000000000000004</v>
      </c>
      <c r="H131" s="50">
        <v>33</v>
      </c>
      <c r="I131" s="50">
        <v>2.93</v>
      </c>
      <c r="J131" s="50">
        <v>90</v>
      </c>
      <c r="K131" s="50">
        <v>71</v>
      </c>
      <c r="L131" s="50">
        <v>4.6900000000000004</v>
      </c>
      <c r="M131" s="50">
        <v>5.31</v>
      </c>
      <c r="N131" s="50">
        <v>27</v>
      </c>
      <c r="O131" s="50">
        <v>11.7</v>
      </c>
      <c r="P131" s="50">
        <v>10.7</v>
      </c>
      <c r="Q131" s="50">
        <v>41.2</v>
      </c>
      <c r="R131" s="50">
        <v>55.2</v>
      </c>
      <c r="S131" s="50">
        <v>33.4</v>
      </c>
      <c r="T131" s="50">
        <v>50</v>
      </c>
      <c r="U131" s="50">
        <v>8.75</v>
      </c>
      <c r="V131" s="50">
        <v>64.400000000000006</v>
      </c>
      <c r="W131" s="50">
        <v>74</v>
      </c>
      <c r="X131" s="50">
        <v>471</v>
      </c>
      <c r="Y131" s="50">
        <v>16.41</v>
      </c>
      <c r="Z131" s="50">
        <v>34.700000000000003</v>
      </c>
      <c r="AA131" s="50">
        <v>5.93</v>
      </c>
      <c r="AB131" s="50"/>
      <c r="AC131" s="50"/>
      <c r="AD131" s="50"/>
      <c r="AE131" s="50"/>
      <c r="AF131" s="50"/>
      <c r="AG131" s="50"/>
      <c r="AH131" s="50"/>
      <c r="AI131" s="50"/>
      <c r="AJ131" s="50"/>
    </row>
    <row r="132" spans="1:36" ht="15" customHeight="1" x14ac:dyDescent="0.25">
      <c r="A132" s="50">
        <v>27</v>
      </c>
      <c r="B132" s="50" t="s">
        <v>923</v>
      </c>
      <c r="C132" s="50" t="s">
        <v>1352</v>
      </c>
      <c r="D132" s="50">
        <v>26</v>
      </c>
      <c r="E132" s="50" t="s">
        <v>1355</v>
      </c>
      <c r="F132" s="50">
        <v>0</v>
      </c>
      <c r="G132" s="50">
        <v>6.7</v>
      </c>
      <c r="H132" s="50">
        <v>55</v>
      </c>
      <c r="I132" s="50">
        <v>3.58</v>
      </c>
      <c r="J132" s="50">
        <v>95</v>
      </c>
      <c r="K132" s="50">
        <v>100</v>
      </c>
      <c r="L132" s="50">
        <v>6.96</v>
      </c>
      <c r="M132" s="50">
        <v>6.36</v>
      </c>
      <c r="N132" s="50">
        <v>52</v>
      </c>
      <c r="O132" s="50">
        <v>14.9</v>
      </c>
      <c r="P132" s="50">
        <v>15.9</v>
      </c>
      <c r="Q132" s="50">
        <v>53.7</v>
      </c>
      <c r="R132" s="50">
        <v>54</v>
      </c>
      <c r="S132" s="50">
        <v>21.6</v>
      </c>
      <c r="T132" s="50">
        <v>35</v>
      </c>
      <c r="U132" s="50">
        <v>8.5500000000000007</v>
      </c>
      <c r="V132" s="50">
        <v>51.9</v>
      </c>
      <c r="W132" s="50">
        <v>41</v>
      </c>
      <c r="X132" s="50">
        <v>358</v>
      </c>
      <c r="Y132" s="50">
        <v>17.89</v>
      </c>
      <c r="Z132" s="50">
        <v>21.3</v>
      </c>
      <c r="AA132" s="50">
        <v>6.46</v>
      </c>
      <c r="AB132" s="50"/>
      <c r="AC132" s="50"/>
      <c r="AD132" s="50"/>
      <c r="AE132" s="50"/>
      <c r="AF132" s="50"/>
      <c r="AG132" s="50"/>
      <c r="AH132" s="50"/>
      <c r="AI132" s="50"/>
      <c r="AJ132" s="50"/>
    </row>
    <row r="133" spans="1:36" ht="15" customHeight="1" x14ac:dyDescent="0.25">
      <c r="A133" s="50">
        <v>27</v>
      </c>
      <c r="B133" s="50" t="s">
        <v>923</v>
      </c>
      <c r="C133" s="50" t="s">
        <v>1352</v>
      </c>
      <c r="D133" s="50">
        <v>26</v>
      </c>
      <c r="E133" s="50" t="s">
        <v>1355</v>
      </c>
      <c r="F133" s="50">
        <v>4</v>
      </c>
      <c r="G133" s="50">
        <v>5.8</v>
      </c>
      <c r="H133" s="50">
        <v>53</v>
      </c>
      <c r="I133" s="50">
        <v>3.43</v>
      </c>
      <c r="J133" s="50">
        <v>100</v>
      </c>
      <c r="K133" s="50">
        <v>94</v>
      </c>
      <c r="L133" s="50">
        <v>6.04</v>
      </c>
      <c r="M133" s="50">
        <v>5.53</v>
      </c>
      <c r="N133" s="50">
        <v>49</v>
      </c>
      <c r="O133" s="50">
        <v>14.6</v>
      </c>
      <c r="P133" s="50">
        <v>13.6</v>
      </c>
      <c r="Q133" s="50">
        <v>48</v>
      </c>
      <c r="R133" s="50">
        <v>55.5</v>
      </c>
      <c r="S133" s="50">
        <v>25</v>
      </c>
      <c r="T133" s="50">
        <v>38</v>
      </c>
      <c r="U133" s="50">
        <v>7.77</v>
      </c>
      <c r="V133" s="50">
        <v>55.6</v>
      </c>
      <c r="W133" s="50">
        <v>48</v>
      </c>
      <c r="X133" s="50">
        <v>398</v>
      </c>
      <c r="Y133" s="50">
        <v>16.64</v>
      </c>
      <c r="Z133" s="50">
        <v>24.4</v>
      </c>
      <c r="AA133" s="50">
        <v>6.69</v>
      </c>
      <c r="AB133" s="50"/>
      <c r="AC133" s="50"/>
      <c r="AD133" s="50"/>
      <c r="AE133" s="50"/>
      <c r="AF133" s="50"/>
      <c r="AG133" s="50"/>
      <c r="AH133" s="50"/>
      <c r="AI133" s="50"/>
      <c r="AJ133" s="50"/>
    </row>
    <row r="134" spans="1:36" ht="15" customHeight="1" x14ac:dyDescent="0.25">
      <c r="A134" s="50">
        <v>27</v>
      </c>
      <c r="B134" s="50" t="s">
        <v>923</v>
      </c>
      <c r="C134" s="50" t="s">
        <v>1352</v>
      </c>
      <c r="D134" s="50">
        <v>26</v>
      </c>
      <c r="E134" s="50" t="s">
        <v>1355</v>
      </c>
      <c r="F134" s="50">
        <v>8</v>
      </c>
      <c r="G134" s="50">
        <v>5.6</v>
      </c>
      <c r="H134" s="50">
        <v>55</v>
      </c>
      <c r="I134" s="50">
        <v>3.23</v>
      </c>
      <c r="J134" s="50">
        <v>103</v>
      </c>
      <c r="K134" s="50">
        <v>89</v>
      </c>
      <c r="L134" s="50">
        <v>5.73</v>
      </c>
      <c r="M134" s="50">
        <v>5.57</v>
      </c>
      <c r="N134" s="50">
        <v>47</v>
      </c>
      <c r="O134" s="50">
        <v>13.8</v>
      </c>
      <c r="P134" s="50">
        <v>12.8</v>
      </c>
      <c r="Q134" s="50">
        <v>49.6</v>
      </c>
      <c r="R134" s="50">
        <v>55.2</v>
      </c>
      <c r="S134" s="50">
        <v>26.9</v>
      </c>
      <c r="T134" s="50">
        <v>43</v>
      </c>
      <c r="U134" s="50">
        <v>8.6300000000000008</v>
      </c>
      <c r="V134" s="50">
        <v>57.9</v>
      </c>
      <c r="W134" s="50">
        <v>52</v>
      </c>
      <c r="X134" s="50">
        <v>386</v>
      </c>
      <c r="Y134" s="50">
        <v>16.68</v>
      </c>
      <c r="Z134" s="50">
        <v>26.3</v>
      </c>
      <c r="AA134" s="50">
        <v>6.64</v>
      </c>
      <c r="AB134" s="50"/>
      <c r="AC134" s="50"/>
      <c r="AD134" s="50"/>
      <c r="AE134" s="50"/>
      <c r="AF134" s="50"/>
      <c r="AG134" s="50"/>
      <c r="AH134" s="50"/>
      <c r="AI134" s="50"/>
      <c r="AJ134" s="50"/>
    </row>
    <row r="135" spans="1:36" ht="15" customHeight="1" x14ac:dyDescent="0.25">
      <c r="A135" s="50">
        <v>27</v>
      </c>
      <c r="B135" s="50" t="s">
        <v>923</v>
      </c>
      <c r="C135" s="50" t="s">
        <v>1352</v>
      </c>
      <c r="D135" s="50">
        <v>26</v>
      </c>
      <c r="E135" s="50" t="s">
        <v>1355</v>
      </c>
      <c r="F135" s="50">
        <v>12</v>
      </c>
      <c r="G135" s="50">
        <v>5.2</v>
      </c>
      <c r="H135" s="50">
        <v>50</v>
      </c>
      <c r="I135" s="50">
        <v>2.98</v>
      </c>
      <c r="J135" s="50">
        <v>102</v>
      </c>
      <c r="K135" s="50">
        <v>83</v>
      </c>
      <c r="L135" s="50">
        <v>5.3</v>
      </c>
      <c r="M135" s="50">
        <v>5.01</v>
      </c>
      <c r="N135" s="50">
        <v>45</v>
      </c>
      <c r="O135" s="50">
        <v>14.8</v>
      </c>
      <c r="P135" s="50">
        <v>13.8</v>
      </c>
      <c r="Q135" s="50">
        <v>45.9</v>
      </c>
      <c r="R135" s="50">
        <v>60.4</v>
      </c>
      <c r="S135" s="50">
        <v>30.3</v>
      </c>
      <c r="T135" s="50">
        <v>45</v>
      </c>
      <c r="U135" s="50">
        <v>8.1199999999999992</v>
      </c>
      <c r="V135" s="50">
        <v>58.1</v>
      </c>
      <c r="W135" s="50">
        <v>56</v>
      </c>
      <c r="X135" s="50">
        <v>431</v>
      </c>
      <c r="Y135" s="50">
        <v>15.39</v>
      </c>
      <c r="Z135" s="50">
        <v>28.3</v>
      </c>
      <c r="AA135" s="50">
        <v>6.86</v>
      </c>
      <c r="AB135" s="50"/>
      <c r="AC135" s="50"/>
      <c r="AD135" s="50"/>
      <c r="AE135" s="50"/>
      <c r="AF135" s="50"/>
      <c r="AG135" s="50"/>
      <c r="AH135" s="50"/>
      <c r="AI135" s="50"/>
      <c r="AJ135" s="50"/>
    </row>
    <row r="136" spans="1:36" ht="15" customHeight="1" x14ac:dyDescent="0.25">
      <c r="A136" s="50">
        <v>27</v>
      </c>
      <c r="B136" s="50" t="s">
        <v>923</v>
      </c>
      <c r="C136" s="50" t="s">
        <v>1352</v>
      </c>
      <c r="D136" s="50">
        <v>26</v>
      </c>
      <c r="E136" s="50" t="s">
        <v>1355</v>
      </c>
      <c r="F136" s="50">
        <v>21</v>
      </c>
      <c r="G136" s="50">
        <v>4.0999999999999996</v>
      </c>
      <c r="H136" s="50">
        <v>47</v>
      </c>
      <c r="I136" s="50">
        <v>2.67</v>
      </c>
      <c r="J136" s="50">
        <v>110</v>
      </c>
      <c r="K136" s="50">
        <v>71</v>
      </c>
      <c r="L136" s="50">
        <v>4.4800000000000004</v>
      </c>
      <c r="M136" s="50">
        <v>3.92</v>
      </c>
      <c r="N136" s="50">
        <v>43</v>
      </c>
      <c r="O136" s="50">
        <v>13.4</v>
      </c>
      <c r="P136" s="50">
        <v>10.7</v>
      </c>
      <c r="Q136" s="50">
        <v>40.799999999999997</v>
      </c>
      <c r="R136" s="50">
        <v>61.5</v>
      </c>
      <c r="S136" s="50">
        <v>34</v>
      </c>
      <c r="T136" s="50">
        <v>53</v>
      </c>
      <c r="U136" s="50">
        <v>6.73</v>
      </c>
      <c r="V136" s="50">
        <v>61.3</v>
      </c>
      <c r="W136" s="50">
        <v>66</v>
      </c>
      <c r="X136" s="50">
        <v>440</v>
      </c>
      <c r="Y136" s="50">
        <v>12.55</v>
      </c>
      <c r="Z136" s="50">
        <v>32.9</v>
      </c>
      <c r="AA136" s="50">
        <v>7.03</v>
      </c>
      <c r="AB136" s="50"/>
      <c r="AC136" s="50"/>
      <c r="AD136" s="50"/>
      <c r="AE136" s="50"/>
      <c r="AF136" s="50"/>
      <c r="AG136" s="50"/>
      <c r="AH136" s="50"/>
      <c r="AI136" s="50"/>
      <c r="AJ136" s="50"/>
    </row>
    <row r="137" spans="1:36" ht="15" customHeight="1" x14ac:dyDescent="0.25">
      <c r="A137" s="50">
        <v>28</v>
      </c>
      <c r="B137" s="50" t="s">
        <v>923</v>
      </c>
      <c r="C137" s="50" t="s">
        <v>1357</v>
      </c>
      <c r="D137" s="50">
        <v>46</v>
      </c>
      <c r="E137" s="50" t="s">
        <v>1359</v>
      </c>
      <c r="F137" s="50">
        <v>0</v>
      </c>
      <c r="G137" s="50">
        <v>6.4</v>
      </c>
      <c r="H137" s="50">
        <v>55</v>
      </c>
      <c r="I137" s="50">
        <v>3.09</v>
      </c>
      <c r="J137" s="50">
        <v>85</v>
      </c>
      <c r="K137" s="50">
        <v>100</v>
      </c>
      <c r="L137" s="50">
        <v>6.85</v>
      </c>
      <c r="M137" s="50">
        <v>7.11</v>
      </c>
      <c r="N137" s="50">
        <v>45</v>
      </c>
      <c r="O137" s="50">
        <v>10.7</v>
      </c>
      <c r="P137" s="50">
        <v>10.6</v>
      </c>
      <c r="Q137" s="50">
        <v>42.6</v>
      </c>
      <c r="R137" s="50">
        <v>39.799999999999997</v>
      </c>
      <c r="S137" s="50">
        <v>20.2</v>
      </c>
      <c r="T137" s="50">
        <v>48</v>
      </c>
      <c r="U137" s="50">
        <v>8.9499999999999993</v>
      </c>
      <c r="V137" s="50">
        <v>50.8</v>
      </c>
      <c r="W137" s="50">
        <v>60</v>
      </c>
      <c r="X137" s="50">
        <v>240</v>
      </c>
      <c r="Y137" s="50">
        <v>16.79</v>
      </c>
      <c r="Z137" s="50">
        <v>28.3</v>
      </c>
      <c r="AA137" s="50">
        <v>5.0199999999999996</v>
      </c>
      <c r="AB137" s="50"/>
      <c r="AC137" s="50"/>
      <c r="AD137" s="50"/>
      <c r="AE137" s="50"/>
      <c r="AF137" s="50"/>
      <c r="AG137" s="50"/>
      <c r="AH137" s="50"/>
      <c r="AI137" s="50"/>
      <c r="AJ137" s="50"/>
    </row>
    <row r="138" spans="1:36" ht="15" customHeight="1" x14ac:dyDescent="0.25">
      <c r="A138" s="50">
        <v>28</v>
      </c>
      <c r="B138" s="50" t="s">
        <v>923</v>
      </c>
      <c r="C138" s="50" t="s">
        <v>1357</v>
      </c>
      <c r="D138" s="50">
        <v>46</v>
      </c>
      <c r="E138" s="50" t="s">
        <v>1359</v>
      </c>
      <c r="F138" s="50">
        <v>4</v>
      </c>
      <c r="G138" s="50">
        <v>5.8</v>
      </c>
      <c r="H138" s="50">
        <v>54</v>
      </c>
      <c r="I138" s="50">
        <v>3</v>
      </c>
      <c r="J138" s="50">
        <v>83</v>
      </c>
      <c r="K138" s="50">
        <v>94</v>
      </c>
      <c r="L138" s="50">
        <v>6.06</v>
      </c>
      <c r="M138" s="50">
        <v>6.46</v>
      </c>
      <c r="N138" s="50">
        <v>45</v>
      </c>
      <c r="O138" s="50">
        <v>11.1</v>
      </c>
      <c r="P138" s="50">
        <v>9.9</v>
      </c>
      <c r="Q138" s="50">
        <v>39.200000000000003</v>
      </c>
      <c r="R138" s="50">
        <v>46.2</v>
      </c>
      <c r="S138" s="50">
        <v>21.1</v>
      </c>
      <c r="T138" s="50">
        <v>52</v>
      </c>
      <c r="U138" s="50">
        <v>7.69</v>
      </c>
      <c r="V138" s="50">
        <v>54.2</v>
      </c>
      <c r="W138" s="50">
        <v>61</v>
      </c>
      <c r="X138" s="50">
        <v>261</v>
      </c>
      <c r="Y138" s="50">
        <v>16.23</v>
      </c>
      <c r="Z138" s="50">
        <v>29.6</v>
      </c>
      <c r="AA138" s="50">
        <v>4.8899999999999997</v>
      </c>
      <c r="AB138" s="50"/>
      <c r="AC138" s="50"/>
      <c r="AD138" s="50"/>
      <c r="AE138" s="50"/>
      <c r="AF138" s="50"/>
      <c r="AG138" s="50"/>
      <c r="AH138" s="50"/>
      <c r="AI138" s="50"/>
      <c r="AJ138" s="50"/>
    </row>
    <row r="139" spans="1:36" ht="15" customHeight="1" x14ac:dyDescent="0.25">
      <c r="A139" s="50">
        <v>28</v>
      </c>
      <c r="B139" s="50" t="s">
        <v>923</v>
      </c>
      <c r="C139" s="50" t="s">
        <v>1357</v>
      </c>
      <c r="D139" s="50">
        <v>46</v>
      </c>
      <c r="E139" s="50" t="s">
        <v>1359</v>
      </c>
      <c r="F139" s="50">
        <v>8</v>
      </c>
      <c r="G139" s="50">
        <v>5.6</v>
      </c>
      <c r="H139" s="50">
        <v>50</v>
      </c>
      <c r="I139" s="50">
        <v>2.84</v>
      </c>
      <c r="J139" s="50">
        <v>89</v>
      </c>
      <c r="K139" s="50">
        <v>89</v>
      </c>
      <c r="L139" s="50">
        <v>5.86</v>
      </c>
      <c r="M139" s="50">
        <v>6.46</v>
      </c>
      <c r="N139" s="50">
        <v>43</v>
      </c>
      <c r="O139" s="50">
        <v>10.5</v>
      </c>
      <c r="P139" s="50">
        <v>10.3</v>
      </c>
      <c r="Q139" s="50">
        <v>39.6</v>
      </c>
      <c r="R139" s="50">
        <v>46.4</v>
      </c>
      <c r="S139" s="50">
        <v>22.2</v>
      </c>
      <c r="T139" s="50">
        <v>52</v>
      </c>
      <c r="U139" s="50">
        <v>7.95</v>
      </c>
      <c r="V139" s="50">
        <v>54.2</v>
      </c>
      <c r="W139" s="50">
        <v>59</v>
      </c>
      <c r="X139" s="50">
        <v>265</v>
      </c>
      <c r="Y139" s="50">
        <v>15.69</v>
      </c>
      <c r="Z139" s="50">
        <v>31.3</v>
      </c>
      <c r="AA139" s="50">
        <v>5.46</v>
      </c>
      <c r="AB139" s="50"/>
      <c r="AC139" s="50"/>
      <c r="AD139" s="50"/>
      <c r="AE139" s="50"/>
      <c r="AF139" s="50"/>
      <c r="AG139" s="50"/>
      <c r="AH139" s="50"/>
      <c r="AI139" s="50"/>
      <c r="AJ139" s="50"/>
    </row>
    <row r="140" spans="1:36" ht="15" customHeight="1" x14ac:dyDescent="0.25">
      <c r="A140" s="50">
        <v>28</v>
      </c>
      <c r="B140" s="50" t="s">
        <v>923</v>
      </c>
      <c r="C140" s="50" t="s">
        <v>1357</v>
      </c>
      <c r="D140" s="50">
        <v>46</v>
      </c>
      <c r="E140" s="50" t="s">
        <v>1359</v>
      </c>
      <c r="F140" s="50">
        <v>12</v>
      </c>
      <c r="G140" s="50">
        <v>5.3</v>
      </c>
      <c r="H140" s="50">
        <v>48</v>
      </c>
      <c r="I140" s="50">
        <v>2.66</v>
      </c>
      <c r="J140" s="50">
        <v>89</v>
      </c>
      <c r="K140" s="50">
        <v>83</v>
      </c>
      <c r="L140" s="50">
        <v>5.61</v>
      </c>
      <c r="M140" s="50">
        <v>6.33</v>
      </c>
      <c r="N140" s="50">
        <v>43</v>
      </c>
      <c r="O140" s="50">
        <v>11</v>
      </c>
      <c r="P140" s="50">
        <v>10</v>
      </c>
      <c r="Q140" s="50">
        <v>39</v>
      </c>
      <c r="R140" s="50">
        <v>44.4</v>
      </c>
      <c r="S140" s="50">
        <v>24.1</v>
      </c>
      <c r="T140" s="50">
        <v>54</v>
      </c>
      <c r="U140" s="50">
        <v>7.87</v>
      </c>
      <c r="V140" s="50">
        <v>53.6</v>
      </c>
      <c r="W140" s="50">
        <v>65</v>
      </c>
      <c r="X140" s="50">
        <v>286</v>
      </c>
      <c r="Y140" s="50">
        <v>15.45</v>
      </c>
      <c r="Z140" s="50">
        <v>32.1</v>
      </c>
      <c r="AA140" s="50">
        <v>5.42</v>
      </c>
      <c r="AB140" s="50"/>
      <c r="AC140" s="50"/>
      <c r="AD140" s="50"/>
      <c r="AE140" s="50"/>
      <c r="AF140" s="50"/>
      <c r="AG140" s="50"/>
      <c r="AH140" s="50"/>
      <c r="AI140" s="50"/>
      <c r="AJ140" s="50"/>
    </row>
    <row r="141" spans="1:36" ht="15" customHeight="1" x14ac:dyDescent="0.25">
      <c r="A141" s="50">
        <v>28</v>
      </c>
      <c r="B141" s="50" t="s">
        <v>923</v>
      </c>
      <c r="C141" s="50" t="s">
        <v>1357</v>
      </c>
      <c r="D141" s="50">
        <v>46</v>
      </c>
      <c r="E141" s="50" t="s">
        <v>1359</v>
      </c>
      <c r="F141" s="50">
        <v>21</v>
      </c>
      <c r="G141" s="50">
        <v>4.3</v>
      </c>
      <c r="H141" s="50">
        <v>41</v>
      </c>
      <c r="I141" s="50">
        <v>2.2599999999999998</v>
      </c>
      <c r="J141" s="50">
        <v>96</v>
      </c>
      <c r="K141" s="50">
        <v>71</v>
      </c>
      <c r="L141" s="50">
        <v>4.6500000000000004</v>
      </c>
      <c r="M141" s="50">
        <v>5.53</v>
      </c>
      <c r="N141" s="50">
        <v>38</v>
      </c>
      <c r="O141" s="50">
        <v>9.3000000000000007</v>
      </c>
      <c r="P141" s="50">
        <v>8.6999999999999993</v>
      </c>
      <c r="Q141" s="50">
        <v>36.5</v>
      </c>
      <c r="R141" s="50">
        <v>51.4</v>
      </c>
      <c r="S141" s="50">
        <v>29.3</v>
      </c>
      <c r="T141" s="50">
        <v>55</v>
      </c>
      <c r="U141" s="50">
        <v>7.31</v>
      </c>
      <c r="V141" s="50">
        <v>59.6</v>
      </c>
      <c r="W141" s="50">
        <v>67</v>
      </c>
      <c r="X141" s="50">
        <v>329</v>
      </c>
      <c r="Y141" s="50">
        <v>13.3</v>
      </c>
      <c r="Z141" s="50">
        <v>34.299999999999997</v>
      </c>
      <c r="AA141" s="50">
        <v>5.97</v>
      </c>
      <c r="AB141" s="50"/>
      <c r="AC141" s="50"/>
      <c r="AD141" s="50"/>
      <c r="AE141" s="50"/>
      <c r="AF141" s="50"/>
      <c r="AG141" s="50"/>
      <c r="AH141" s="50"/>
      <c r="AI141" s="50"/>
      <c r="AJ141" s="50"/>
    </row>
    <row r="142" spans="1:36" ht="15" customHeight="1" x14ac:dyDescent="0.25">
      <c r="A142" s="50">
        <v>29</v>
      </c>
      <c r="B142" s="50" t="s">
        <v>923</v>
      </c>
      <c r="C142" s="50" t="s">
        <v>1352</v>
      </c>
      <c r="D142" s="50">
        <v>27</v>
      </c>
      <c r="E142" s="50" t="s">
        <v>1353</v>
      </c>
      <c r="F142" s="50">
        <v>0</v>
      </c>
      <c r="G142" s="50">
        <v>7</v>
      </c>
      <c r="H142" s="50">
        <v>53</v>
      </c>
      <c r="I142" s="50">
        <v>3.77</v>
      </c>
      <c r="J142" s="50">
        <v>114</v>
      </c>
      <c r="K142" s="50">
        <v>100</v>
      </c>
      <c r="L142" s="50">
        <v>6.55</v>
      </c>
      <c r="M142" s="50">
        <v>7.48</v>
      </c>
      <c r="N142" s="50">
        <v>54</v>
      </c>
      <c r="O142" s="50">
        <v>13</v>
      </c>
      <c r="P142" s="50">
        <v>13.2</v>
      </c>
      <c r="Q142" s="50">
        <v>46.7</v>
      </c>
      <c r="R142" s="50">
        <v>32.700000000000003</v>
      </c>
      <c r="S142" s="50">
        <v>15.7</v>
      </c>
      <c r="T142" s="50">
        <v>31</v>
      </c>
      <c r="U142" s="50">
        <v>9.9499999999999993</v>
      </c>
      <c r="V142" s="50">
        <v>52.9</v>
      </c>
      <c r="W142" s="50">
        <v>46</v>
      </c>
      <c r="X142" s="50">
        <v>429</v>
      </c>
      <c r="Y142" s="50">
        <v>12.71</v>
      </c>
      <c r="Z142" s="50">
        <v>24.1</v>
      </c>
      <c r="AA142" s="50">
        <v>5.33</v>
      </c>
      <c r="AB142" s="50"/>
      <c r="AC142" s="50"/>
      <c r="AD142" s="50"/>
      <c r="AE142" s="50"/>
      <c r="AF142" s="50"/>
      <c r="AG142" s="50"/>
      <c r="AH142" s="50"/>
      <c r="AI142" s="50"/>
      <c r="AJ142" s="50"/>
    </row>
    <row r="143" spans="1:36" ht="15" customHeight="1" x14ac:dyDescent="0.25">
      <c r="A143" s="50">
        <v>29</v>
      </c>
      <c r="B143" s="50" t="s">
        <v>923</v>
      </c>
      <c r="C143" s="50" t="s">
        <v>1352</v>
      </c>
      <c r="D143" s="50">
        <v>27</v>
      </c>
      <c r="E143" s="50" t="s">
        <v>1353</v>
      </c>
      <c r="F143" s="50">
        <v>4</v>
      </c>
      <c r="G143" s="50">
        <v>6.1</v>
      </c>
      <c r="H143" s="50">
        <v>51</v>
      </c>
      <c r="I143" s="50">
        <v>3.6</v>
      </c>
      <c r="J143" s="50">
        <v>116</v>
      </c>
      <c r="K143" s="50">
        <v>94</v>
      </c>
      <c r="L143" s="50">
        <v>5.62</v>
      </c>
      <c r="M143" s="50">
        <v>6.6</v>
      </c>
      <c r="N143" s="50">
        <v>49</v>
      </c>
      <c r="O143" s="50">
        <v>12.6</v>
      </c>
      <c r="P143" s="50">
        <v>11.5</v>
      </c>
      <c r="Q143" s="50">
        <v>44.3</v>
      </c>
      <c r="R143" s="50">
        <v>38.9</v>
      </c>
      <c r="S143" s="50">
        <v>21.2</v>
      </c>
      <c r="T143" s="50">
        <v>39</v>
      </c>
      <c r="U143" s="50">
        <v>9.5299999999999994</v>
      </c>
      <c r="V143" s="50">
        <v>57</v>
      </c>
      <c r="W143" s="50">
        <v>49</v>
      </c>
      <c r="X143" s="50">
        <v>439</v>
      </c>
      <c r="Y143" s="50">
        <v>11.84</v>
      </c>
      <c r="Z143" s="50">
        <v>27.3</v>
      </c>
      <c r="AA143" s="50">
        <v>5.64</v>
      </c>
      <c r="AB143" s="50"/>
      <c r="AC143" s="50"/>
      <c r="AD143" s="50"/>
      <c r="AE143" s="50"/>
      <c r="AF143" s="50"/>
      <c r="AG143" s="50"/>
      <c r="AH143" s="50"/>
      <c r="AI143" s="50"/>
      <c r="AJ143" s="50"/>
    </row>
    <row r="144" spans="1:36" ht="15" customHeight="1" x14ac:dyDescent="0.25">
      <c r="A144" s="50">
        <v>29</v>
      </c>
      <c r="B144" s="50" t="s">
        <v>923</v>
      </c>
      <c r="C144" s="50" t="s">
        <v>1352</v>
      </c>
      <c r="D144" s="50">
        <v>27</v>
      </c>
      <c r="E144" s="50" t="s">
        <v>1353</v>
      </c>
      <c r="F144" s="50">
        <v>8</v>
      </c>
      <c r="G144" s="50">
        <v>5.9</v>
      </c>
      <c r="H144" s="50">
        <v>51</v>
      </c>
      <c r="I144" s="50">
        <v>3.35</v>
      </c>
      <c r="J144" s="50">
        <v>121</v>
      </c>
      <c r="K144" s="50">
        <v>89</v>
      </c>
      <c r="L144" s="50">
        <v>5.5</v>
      </c>
      <c r="M144" s="50">
        <v>6.25</v>
      </c>
      <c r="N144" s="50">
        <v>49</v>
      </c>
      <c r="O144" s="50">
        <v>12.3</v>
      </c>
      <c r="P144" s="50">
        <v>12.3</v>
      </c>
      <c r="Q144" s="50">
        <v>41.2</v>
      </c>
      <c r="R144" s="50">
        <v>39.200000000000003</v>
      </c>
      <c r="S144" s="50">
        <v>21.4</v>
      </c>
      <c r="T144" s="50">
        <v>39</v>
      </c>
      <c r="U144" s="50">
        <v>9.6</v>
      </c>
      <c r="V144" s="50">
        <v>56.6</v>
      </c>
      <c r="W144" s="50">
        <v>55</v>
      </c>
      <c r="X144" s="50">
        <v>435</v>
      </c>
      <c r="Y144" s="50">
        <v>12.19</v>
      </c>
      <c r="Z144" s="50">
        <v>27.4</v>
      </c>
      <c r="AA144" s="50">
        <v>5.69</v>
      </c>
      <c r="AB144" s="50"/>
      <c r="AC144" s="50"/>
      <c r="AD144" s="50"/>
      <c r="AE144" s="50"/>
      <c r="AF144" s="50"/>
      <c r="AG144" s="50"/>
      <c r="AH144" s="50"/>
      <c r="AI144" s="50"/>
      <c r="AJ144" s="50"/>
    </row>
    <row r="145" spans="1:36" ht="15" customHeight="1" x14ac:dyDescent="0.25">
      <c r="A145" s="50">
        <v>29</v>
      </c>
      <c r="B145" s="50" t="s">
        <v>923</v>
      </c>
      <c r="C145" s="50" t="s">
        <v>1352</v>
      </c>
      <c r="D145" s="50">
        <v>27</v>
      </c>
      <c r="E145" s="50" t="s">
        <v>1353</v>
      </c>
      <c r="F145" s="50">
        <v>12</v>
      </c>
      <c r="G145" s="50">
        <v>5.4</v>
      </c>
      <c r="H145" s="50">
        <v>50</v>
      </c>
      <c r="I145" s="50">
        <v>3.2</v>
      </c>
      <c r="J145" s="50">
        <v>121</v>
      </c>
      <c r="K145" s="50">
        <v>83</v>
      </c>
      <c r="L145" s="50">
        <v>5.07</v>
      </c>
      <c r="M145" s="50">
        <v>5.64</v>
      </c>
      <c r="N145" s="50">
        <v>43</v>
      </c>
      <c r="O145" s="50">
        <v>12</v>
      </c>
      <c r="P145" s="50">
        <v>12</v>
      </c>
      <c r="Q145" s="50">
        <v>36.9</v>
      </c>
      <c r="R145" s="50">
        <v>42.4</v>
      </c>
      <c r="S145" s="50">
        <v>23.7</v>
      </c>
      <c r="T145" s="50">
        <v>42</v>
      </c>
      <c r="U145" s="50">
        <v>9.25</v>
      </c>
      <c r="V145" s="50">
        <v>59.8</v>
      </c>
      <c r="W145" s="50">
        <v>54</v>
      </c>
      <c r="X145" s="50">
        <v>449</v>
      </c>
      <c r="Y145" s="50">
        <v>11.82</v>
      </c>
      <c r="Z145" s="50">
        <v>28.5</v>
      </c>
      <c r="AA145" s="50">
        <v>5.91</v>
      </c>
      <c r="AB145" s="50"/>
      <c r="AC145" s="50"/>
      <c r="AD145" s="50"/>
      <c r="AE145" s="50"/>
      <c r="AF145" s="50"/>
      <c r="AG145" s="50"/>
      <c r="AH145" s="50"/>
      <c r="AI145" s="50"/>
      <c r="AJ145" s="50"/>
    </row>
    <row r="146" spans="1:36" ht="15" customHeight="1" x14ac:dyDescent="0.25">
      <c r="A146" s="50">
        <v>29</v>
      </c>
      <c r="B146" s="50" t="s">
        <v>923</v>
      </c>
      <c r="C146" s="50" t="s">
        <v>1352</v>
      </c>
      <c r="D146" s="50">
        <v>27</v>
      </c>
      <c r="E146" s="50" t="s">
        <v>1353</v>
      </c>
      <c r="F146" s="50">
        <v>21</v>
      </c>
      <c r="G146" s="50">
        <v>4.7</v>
      </c>
      <c r="H146" s="50">
        <v>43</v>
      </c>
      <c r="I146" s="50">
        <v>2.86</v>
      </c>
      <c r="J146" s="50">
        <v>129</v>
      </c>
      <c r="K146" s="50">
        <v>71</v>
      </c>
      <c r="L146" s="50">
        <v>4.3600000000000003</v>
      </c>
      <c r="M146" s="50">
        <v>4.8600000000000003</v>
      </c>
      <c r="N146" s="50">
        <v>40</v>
      </c>
      <c r="O146" s="50">
        <v>10.8</v>
      </c>
      <c r="P146" s="50">
        <v>10.6</v>
      </c>
      <c r="Q146" s="50">
        <v>35</v>
      </c>
      <c r="R146" s="50">
        <v>46.3</v>
      </c>
      <c r="S146" s="50">
        <v>27.1</v>
      </c>
      <c r="T146" s="50">
        <v>47</v>
      </c>
      <c r="U146" s="50">
        <v>9.0399999999999991</v>
      </c>
      <c r="V146" s="50">
        <v>62.4</v>
      </c>
      <c r="W146" s="50">
        <v>61</v>
      </c>
      <c r="X146" s="50">
        <v>457</v>
      </c>
      <c r="Y146" s="50">
        <v>11.23</v>
      </c>
      <c r="Z146" s="50">
        <v>30.7</v>
      </c>
      <c r="AA146" s="50">
        <v>6.05</v>
      </c>
      <c r="AB146" s="50"/>
      <c r="AC146" s="50"/>
      <c r="AD146" s="50"/>
      <c r="AE146" s="50"/>
      <c r="AF146" s="50"/>
      <c r="AG146" s="50"/>
      <c r="AH146" s="50"/>
      <c r="AI146" s="50"/>
      <c r="AJ146" s="50"/>
    </row>
    <row r="147" spans="1:36" ht="15" customHeight="1" x14ac:dyDescent="0.25">
      <c r="A147" s="50">
        <v>30</v>
      </c>
      <c r="B147" s="50" t="s">
        <v>923</v>
      </c>
      <c r="C147" s="50" t="s">
        <v>1352</v>
      </c>
      <c r="D147" s="50">
        <v>37</v>
      </c>
      <c r="E147" s="50" t="s">
        <v>1359</v>
      </c>
      <c r="F147" s="50">
        <v>0</v>
      </c>
      <c r="G147" s="50">
        <v>6.4</v>
      </c>
      <c r="H147" s="50">
        <v>50</v>
      </c>
      <c r="I147" s="50">
        <v>2.77</v>
      </c>
      <c r="J147" s="50">
        <v>84</v>
      </c>
      <c r="K147" s="50">
        <v>100</v>
      </c>
      <c r="L147" s="50">
        <v>7.14</v>
      </c>
      <c r="M147" s="50">
        <v>5.86</v>
      </c>
      <c r="N147" s="50">
        <v>41</v>
      </c>
      <c r="O147" s="50">
        <v>11.1</v>
      </c>
      <c r="P147" s="50">
        <v>10.7</v>
      </c>
      <c r="Q147" s="50">
        <v>35.299999999999997</v>
      </c>
      <c r="R147" s="50">
        <v>29.2</v>
      </c>
      <c r="S147" s="50">
        <v>20.7</v>
      </c>
      <c r="T147" s="50">
        <v>55</v>
      </c>
      <c r="U147" s="50">
        <v>5.52</v>
      </c>
      <c r="V147" s="50">
        <v>56.3</v>
      </c>
      <c r="W147" s="50">
        <v>25</v>
      </c>
      <c r="X147" s="50">
        <v>333</v>
      </c>
      <c r="Y147" s="50">
        <v>16.47</v>
      </c>
      <c r="Z147" s="50">
        <v>23.6</v>
      </c>
      <c r="AA147" s="50">
        <v>6.6</v>
      </c>
      <c r="AB147" s="50"/>
      <c r="AC147" s="50"/>
      <c r="AD147" s="50"/>
      <c r="AE147" s="50"/>
      <c r="AF147" s="50"/>
      <c r="AG147" s="50"/>
      <c r="AH147" s="50"/>
      <c r="AI147" s="50"/>
      <c r="AJ147" s="50"/>
    </row>
    <row r="148" spans="1:36" ht="15" customHeight="1" x14ac:dyDescent="0.25">
      <c r="A148" s="50">
        <v>30</v>
      </c>
      <c r="B148" s="50" t="s">
        <v>923</v>
      </c>
      <c r="C148" s="50" t="s">
        <v>1352</v>
      </c>
      <c r="D148" s="50">
        <v>37</v>
      </c>
      <c r="E148" s="50" t="s">
        <v>1359</v>
      </c>
      <c r="F148" s="50">
        <v>4</v>
      </c>
      <c r="G148" s="50">
        <v>6.1</v>
      </c>
      <c r="H148" s="50">
        <v>49</v>
      </c>
      <c r="I148" s="50">
        <v>2.61</v>
      </c>
      <c r="J148" s="50">
        <v>91</v>
      </c>
      <c r="K148" s="50">
        <v>94</v>
      </c>
      <c r="L148" s="50">
        <v>6.75</v>
      </c>
      <c r="M148" s="50">
        <v>5.36</v>
      </c>
      <c r="N148" s="50">
        <v>39</v>
      </c>
      <c r="O148" s="50">
        <v>11</v>
      </c>
      <c r="P148" s="50">
        <v>11.5</v>
      </c>
      <c r="Q148" s="50">
        <v>38.700000000000003</v>
      </c>
      <c r="R148" s="50">
        <v>31</v>
      </c>
      <c r="S148" s="50">
        <v>22.4</v>
      </c>
      <c r="T148" s="50">
        <v>56</v>
      </c>
      <c r="U148" s="50">
        <v>4.88</v>
      </c>
      <c r="V148" s="50">
        <v>56.8</v>
      </c>
      <c r="W148" s="50">
        <v>30</v>
      </c>
      <c r="X148" s="50">
        <v>353</v>
      </c>
      <c r="Y148" s="50">
        <v>15.72</v>
      </c>
      <c r="Z148" s="50">
        <v>23.5</v>
      </c>
      <c r="AA148" s="50">
        <v>6.65</v>
      </c>
      <c r="AB148" s="50"/>
      <c r="AC148" s="50"/>
      <c r="AD148" s="50"/>
      <c r="AE148" s="50"/>
      <c r="AF148" s="50"/>
      <c r="AG148" s="50"/>
      <c r="AH148" s="50"/>
      <c r="AI148" s="50"/>
      <c r="AJ148" s="50"/>
    </row>
    <row r="149" spans="1:36" ht="15" customHeight="1" x14ac:dyDescent="0.25">
      <c r="A149" s="50">
        <v>30</v>
      </c>
      <c r="B149" s="50" t="s">
        <v>923</v>
      </c>
      <c r="C149" s="50" t="s">
        <v>1352</v>
      </c>
      <c r="D149" s="50">
        <v>37</v>
      </c>
      <c r="E149" s="50" t="s">
        <v>1359</v>
      </c>
      <c r="F149" s="50">
        <v>8</v>
      </c>
      <c r="G149" s="50">
        <v>5.4</v>
      </c>
      <c r="H149" s="50">
        <v>45</v>
      </c>
      <c r="I149" s="50">
        <v>2.4700000000000002</v>
      </c>
      <c r="J149" s="50">
        <v>92</v>
      </c>
      <c r="K149" s="50">
        <v>89</v>
      </c>
      <c r="L149" s="50">
        <v>6.27</v>
      </c>
      <c r="M149" s="50">
        <v>4.8899999999999997</v>
      </c>
      <c r="N149" s="50">
        <v>35</v>
      </c>
      <c r="O149" s="50">
        <v>11</v>
      </c>
      <c r="P149" s="50">
        <v>10.4</v>
      </c>
      <c r="Q149" s="50">
        <v>30.3</v>
      </c>
      <c r="R149" s="50">
        <v>36.799999999999997</v>
      </c>
      <c r="S149" s="50">
        <v>25.1</v>
      </c>
      <c r="T149" s="50">
        <v>58</v>
      </c>
      <c r="U149" s="50">
        <v>5.67</v>
      </c>
      <c r="V149" s="50">
        <v>58.4</v>
      </c>
      <c r="W149" s="50">
        <v>38</v>
      </c>
      <c r="X149" s="50">
        <v>383</v>
      </c>
      <c r="Y149" s="50">
        <v>14.53</v>
      </c>
      <c r="Z149" s="50">
        <v>27.5</v>
      </c>
      <c r="AA149" s="50">
        <v>6.8</v>
      </c>
      <c r="AB149" s="50"/>
      <c r="AC149" s="50"/>
      <c r="AD149" s="50"/>
      <c r="AE149" s="50"/>
      <c r="AF149" s="50"/>
      <c r="AG149" s="50"/>
      <c r="AH149" s="50"/>
      <c r="AI149" s="50"/>
      <c r="AJ149" s="50"/>
    </row>
    <row r="150" spans="1:36" ht="15" customHeight="1" x14ac:dyDescent="0.25">
      <c r="A150" s="50">
        <v>30</v>
      </c>
      <c r="B150" s="50" t="s">
        <v>923</v>
      </c>
      <c r="C150" s="50" t="s">
        <v>1352</v>
      </c>
      <c r="D150" s="50">
        <v>37</v>
      </c>
      <c r="E150" s="50" t="s">
        <v>1359</v>
      </c>
      <c r="F150" s="50">
        <v>12</v>
      </c>
      <c r="G150" s="50">
        <v>4.7</v>
      </c>
      <c r="H150" s="50">
        <v>46</v>
      </c>
      <c r="I150" s="50">
        <v>2.3199999999999998</v>
      </c>
      <c r="J150" s="50">
        <v>96</v>
      </c>
      <c r="K150" s="50">
        <v>83</v>
      </c>
      <c r="L150" s="50">
        <v>5.29</v>
      </c>
      <c r="M150" s="50">
        <v>4.32</v>
      </c>
      <c r="N150" s="50">
        <v>33</v>
      </c>
      <c r="O150" s="50">
        <v>10.199999999999999</v>
      </c>
      <c r="P150" s="50">
        <v>10.5</v>
      </c>
      <c r="Q150" s="50">
        <v>33.1</v>
      </c>
      <c r="R150" s="50">
        <v>41.3</v>
      </c>
      <c r="S150" s="50">
        <v>28.2</v>
      </c>
      <c r="T150" s="50">
        <v>62</v>
      </c>
      <c r="U150" s="50">
        <v>5</v>
      </c>
      <c r="V150" s="50">
        <v>61.1</v>
      </c>
      <c r="W150" s="50">
        <v>41</v>
      </c>
      <c r="X150" s="50">
        <v>401</v>
      </c>
      <c r="Y150" s="50">
        <v>12.72</v>
      </c>
      <c r="Z150" s="50">
        <v>32.9</v>
      </c>
      <c r="AA150" s="50">
        <v>6.96</v>
      </c>
      <c r="AB150" s="50"/>
      <c r="AC150" s="50"/>
      <c r="AD150" s="50"/>
      <c r="AE150" s="50"/>
      <c r="AF150" s="50"/>
      <c r="AG150" s="50"/>
      <c r="AH150" s="50"/>
      <c r="AI150" s="50"/>
      <c r="AJ150" s="50"/>
    </row>
    <row r="151" spans="1:36" ht="15" customHeight="1" x14ac:dyDescent="0.25">
      <c r="A151" s="50">
        <v>30</v>
      </c>
      <c r="B151" s="50" t="s">
        <v>923</v>
      </c>
      <c r="C151" s="50" t="s">
        <v>1352</v>
      </c>
      <c r="D151" s="50">
        <v>37</v>
      </c>
      <c r="E151" s="50" t="s">
        <v>1359</v>
      </c>
      <c r="F151" s="50">
        <v>21</v>
      </c>
      <c r="G151" s="50">
        <v>4</v>
      </c>
      <c r="H151" s="50">
        <v>40</v>
      </c>
      <c r="I151" s="50">
        <v>2.13</v>
      </c>
      <c r="J151" s="50">
        <v>102</v>
      </c>
      <c r="K151" s="50">
        <v>71</v>
      </c>
      <c r="L151" s="50">
        <v>4.54</v>
      </c>
      <c r="M151" s="50">
        <v>3.82</v>
      </c>
      <c r="N151" s="50">
        <v>31</v>
      </c>
      <c r="O151" s="50">
        <v>11.8</v>
      </c>
      <c r="P151" s="50">
        <v>8.4</v>
      </c>
      <c r="Q151" s="50">
        <v>31.9</v>
      </c>
      <c r="R151" s="50">
        <v>50.1</v>
      </c>
      <c r="S151" s="50">
        <v>33.4</v>
      </c>
      <c r="T151" s="50">
        <v>67</v>
      </c>
      <c r="U151" s="50">
        <v>4.54</v>
      </c>
      <c r="V151" s="50">
        <v>62.1</v>
      </c>
      <c r="W151" s="50">
        <v>49</v>
      </c>
      <c r="X151" s="50">
        <v>447</v>
      </c>
      <c r="Y151" s="50">
        <v>11.92</v>
      </c>
      <c r="Z151" s="50">
        <v>35.799999999999997</v>
      </c>
      <c r="AA151" s="50">
        <v>6.82</v>
      </c>
      <c r="AB151" s="50"/>
      <c r="AC151" s="50"/>
      <c r="AD151" s="50"/>
      <c r="AE151" s="50"/>
      <c r="AF151" s="50"/>
      <c r="AG151" s="50"/>
      <c r="AH151" s="50"/>
      <c r="AI151" s="50"/>
      <c r="AJ151" s="50"/>
    </row>
    <row r="152" spans="1:36" ht="15" customHeight="1" x14ac:dyDescent="0.25">
      <c r="A152" s="50">
        <v>31</v>
      </c>
      <c r="B152" s="50" t="s">
        <v>923</v>
      </c>
      <c r="C152" s="50" t="s">
        <v>1352</v>
      </c>
      <c r="D152" s="50">
        <v>45</v>
      </c>
      <c r="E152" s="50" t="s">
        <v>1359</v>
      </c>
      <c r="F152" s="50">
        <v>0</v>
      </c>
      <c r="G152" s="50">
        <v>6.9</v>
      </c>
      <c r="H152" s="50">
        <v>55</v>
      </c>
      <c r="I152" s="50">
        <v>3.26</v>
      </c>
      <c r="J152" s="50">
        <v>103</v>
      </c>
      <c r="K152" s="50">
        <v>100</v>
      </c>
      <c r="L152" s="50">
        <v>7.4</v>
      </c>
      <c r="M152" s="50">
        <v>6.46</v>
      </c>
      <c r="N152" s="50">
        <v>67</v>
      </c>
      <c r="O152" s="50">
        <v>12.7</v>
      </c>
      <c r="P152" s="50">
        <v>8.4</v>
      </c>
      <c r="Q152" s="50">
        <v>54.1</v>
      </c>
      <c r="R152" s="50">
        <v>27.3</v>
      </c>
      <c r="S152" s="50">
        <v>14.8</v>
      </c>
      <c r="T152" s="50">
        <v>44</v>
      </c>
      <c r="U152" s="50">
        <v>8.99</v>
      </c>
      <c r="V152" s="50">
        <v>60.4</v>
      </c>
      <c r="W152" s="50">
        <v>36</v>
      </c>
      <c r="X152" s="50">
        <v>407</v>
      </c>
      <c r="Y152" s="50">
        <v>13.19</v>
      </c>
      <c r="Z152" s="50">
        <v>34.700000000000003</v>
      </c>
      <c r="AA152" s="50">
        <v>4.3899999999999997</v>
      </c>
      <c r="AB152" s="50"/>
      <c r="AC152" s="50"/>
      <c r="AD152" s="50"/>
      <c r="AE152" s="50"/>
      <c r="AF152" s="50"/>
      <c r="AG152" s="50"/>
      <c r="AH152" s="50"/>
      <c r="AI152" s="50"/>
      <c r="AJ152" s="50"/>
    </row>
    <row r="153" spans="1:36" ht="15" customHeight="1" x14ac:dyDescent="0.25">
      <c r="A153" s="50">
        <v>31</v>
      </c>
      <c r="B153" s="50" t="s">
        <v>923</v>
      </c>
      <c r="C153" s="50" t="s">
        <v>1352</v>
      </c>
      <c r="D153" s="50">
        <v>45</v>
      </c>
      <c r="E153" s="50" t="s">
        <v>1359</v>
      </c>
      <c r="F153" s="50">
        <v>4</v>
      </c>
      <c r="G153" s="50">
        <v>6.3</v>
      </c>
      <c r="H153" s="50">
        <v>52</v>
      </c>
      <c r="I153" s="50">
        <v>3.04</v>
      </c>
      <c r="J153" s="50">
        <v>104</v>
      </c>
      <c r="K153" s="50">
        <v>94</v>
      </c>
      <c r="L153" s="50">
        <v>6.86</v>
      </c>
      <c r="M153" s="50">
        <v>5.73</v>
      </c>
      <c r="N153" s="50">
        <v>63</v>
      </c>
      <c r="O153" s="50">
        <v>11.2</v>
      </c>
      <c r="P153" s="50">
        <v>9.1999999999999993</v>
      </c>
      <c r="Q153" s="50">
        <v>50.8</v>
      </c>
      <c r="R153" s="50">
        <v>31.5</v>
      </c>
      <c r="S153" s="50">
        <v>18.7</v>
      </c>
      <c r="T153" s="50">
        <v>50</v>
      </c>
      <c r="U153" s="50">
        <v>8.4700000000000006</v>
      </c>
      <c r="V153" s="50">
        <v>62.6</v>
      </c>
      <c r="W153" s="50">
        <v>39</v>
      </c>
      <c r="X153" s="50">
        <v>419</v>
      </c>
      <c r="Y153" s="50">
        <v>12.46</v>
      </c>
      <c r="Z153" s="50">
        <v>35</v>
      </c>
      <c r="AA153" s="50">
        <v>4.4000000000000004</v>
      </c>
      <c r="AB153" s="50"/>
      <c r="AC153" s="50"/>
      <c r="AD153" s="50"/>
      <c r="AE153" s="50"/>
      <c r="AF153" s="50"/>
      <c r="AG153" s="50"/>
      <c r="AH153" s="50"/>
      <c r="AI153" s="50"/>
      <c r="AJ153" s="50"/>
    </row>
    <row r="154" spans="1:36" ht="15" customHeight="1" x14ac:dyDescent="0.25">
      <c r="A154" s="50">
        <v>31</v>
      </c>
      <c r="B154" s="50" t="s">
        <v>923</v>
      </c>
      <c r="C154" s="50" t="s">
        <v>1352</v>
      </c>
      <c r="D154" s="50">
        <v>45</v>
      </c>
      <c r="E154" s="50" t="s">
        <v>1359</v>
      </c>
      <c r="F154" s="50">
        <v>8</v>
      </c>
      <c r="G154" s="50">
        <v>5.8</v>
      </c>
      <c r="H154" s="50">
        <v>50</v>
      </c>
      <c r="I154" s="50">
        <v>2.89</v>
      </c>
      <c r="J154" s="50">
        <v>106</v>
      </c>
      <c r="K154" s="50">
        <v>89</v>
      </c>
      <c r="L154" s="50">
        <v>6.44</v>
      </c>
      <c r="M154" s="50">
        <v>5.36</v>
      </c>
      <c r="N154" s="50">
        <v>64</v>
      </c>
      <c r="O154" s="50">
        <v>12</v>
      </c>
      <c r="P154" s="50">
        <v>8.4</v>
      </c>
      <c r="Q154" s="50">
        <v>46.1</v>
      </c>
      <c r="R154" s="50">
        <v>34.799999999999997</v>
      </c>
      <c r="S154" s="50">
        <v>21.1</v>
      </c>
      <c r="T154" s="50">
        <v>48</v>
      </c>
      <c r="U154" s="50">
        <v>8.5500000000000007</v>
      </c>
      <c r="V154" s="50">
        <v>64.099999999999994</v>
      </c>
      <c r="W154" s="50">
        <v>43</v>
      </c>
      <c r="X154" s="50">
        <v>431</v>
      </c>
      <c r="Y154" s="50">
        <v>11.74</v>
      </c>
      <c r="Z154" s="50">
        <v>37.799999999999997</v>
      </c>
      <c r="AA154" s="50">
        <v>4.57</v>
      </c>
      <c r="AB154" s="50"/>
      <c r="AC154" s="50"/>
      <c r="AD154" s="50"/>
      <c r="AE154" s="50"/>
      <c r="AF154" s="50"/>
      <c r="AG154" s="50"/>
      <c r="AH154" s="50"/>
      <c r="AI154" s="50"/>
      <c r="AJ154" s="50"/>
    </row>
    <row r="155" spans="1:36" ht="15" customHeight="1" x14ac:dyDescent="0.25">
      <c r="A155" s="50">
        <v>31</v>
      </c>
      <c r="B155" s="50" t="s">
        <v>923</v>
      </c>
      <c r="C155" s="50" t="s">
        <v>1352</v>
      </c>
      <c r="D155" s="50">
        <v>45</v>
      </c>
      <c r="E155" s="50" t="s">
        <v>1359</v>
      </c>
      <c r="F155" s="50">
        <v>12</v>
      </c>
      <c r="G155" s="50">
        <v>5.3</v>
      </c>
      <c r="H155" s="50">
        <v>46</v>
      </c>
      <c r="I155" s="50">
        <v>2.85</v>
      </c>
      <c r="J155" s="50">
        <v>108</v>
      </c>
      <c r="K155" s="50">
        <v>83</v>
      </c>
      <c r="L155" s="50">
        <v>5.97</v>
      </c>
      <c r="M155" s="50">
        <v>5.03</v>
      </c>
      <c r="N155" s="50">
        <v>61</v>
      </c>
      <c r="O155" s="50">
        <v>10.3</v>
      </c>
      <c r="P155" s="50">
        <v>9.1999999999999993</v>
      </c>
      <c r="Q155" s="50">
        <v>43.8</v>
      </c>
      <c r="R155" s="50">
        <v>39.700000000000003</v>
      </c>
      <c r="S155" s="50">
        <v>20.399999999999999</v>
      </c>
      <c r="T155" s="50">
        <v>56</v>
      </c>
      <c r="U155" s="50">
        <v>7.55</v>
      </c>
      <c r="V155" s="50">
        <v>64.599999999999994</v>
      </c>
      <c r="W155" s="50">
        <v>48</v>
      </c>
      <c r="X155" s="50">
        <v>461</v>
      </c>
      <c r="Y155" s="50">
        <v>10.62</v>
      </c>
      <c r="Z155" s="50">
        <v>36.6</v>
      </c>
      <c r="AA155" s="50">
        <v>4.8</v>
      </c>
      <c r="AB155" s="50"/>
      <c r="AC155" s="50"/>
      <c r="AD155" s="50"/>
      <c r="AE155" s="50"/>
      <c r="AF155" s="50"/>
      <c r="AG155" s="50"/>
      <c r="AH155" s="50"/>
      <c r="AI155" s="50"/>
      <c r="AJ155" s="50"/>
    </row>
    <row r="156" spans="1:36" ht="15" customHeight="1" x14ac:dyDescent="0.25">
      <c r="A156" s="50">
        <v>31</v>
      </c>
      <c r="B156" s="50" t="s">
        <v>923</v>
      </c>
      <c r="C156" s="50" t="s">
        <v>1352</v>
      </c>
      <c r="D156" s="50">
        <v>45</v>
      </c>
      <c r="E156" s="50" t="s">
        <v>1359</v>
      </c>
      <c r="F156" s="50">
        <v>21</v>
      </c>
      <c r="G156" s="50">
        <v>4.2</v>
      </c>
      <c r="H156" s="50">
        <v>42</v>
      </c>
      <c r="I156" s="50">
        <v>2.4</v>
      </c>
      <c r="J156" s="50">
        <v>115</v>
      </c>
      <c r="K156" s="50">
        <v>71</v>
      </c>
      <c r="L156" s="50">
        <v>4.8099999999999996</v>
      </c>
      <c r="M156" s="50">
        <v>3.8</v>
      </c>
      <c r="N156" s="50">
        <v>56</v>
      </c>
      <c r="O156" s="50">
        <v>8.1</v>
      </c>
      <c r="P156" s="50">
        <v>9</v>
      </c>
      <c r="Q156" s="50">
        <v>35.4</v>
      </c>
      <c r="R156" s="50">
        <v>46.4</v>
      </c>
      <c r="S156" s="50">
        <v>28.2</v>
      </c>
      <c r="T156" s="50">
        <v>58</v>
      </c>
      <c r="U156" s="50">
        <v>6.65</v>
      </c>
      <c r="V156" s="50">
        <v>68.900000000000006</v>
      </c>
      <c r="W156" s="50">
        <v>60</v>
      </c>
      <c r="X156" s="50">
        <v>491</v>
      </c>
      <c r="Y156" s="50">
        <v>10.1</v>
      </c>
      <c r="Z156" s="50">
        <v>39.1</v>
      </c>
      <c r="AA156" s="50">
        <v>5.88</v>
      </c>
      <c r="AB156" s="50"/>
      <c r="AC156" s="50"/>
      <c r="AD156" s="50"/>
      <c r="AE156" s="50"/>
      <c r="AF156" s="50"/>
      <c r="AG156" s="50"/>
      <c r="AH156" s="50"/>
      <c r="AI156" s="50"/>
      <c r="AJ156" s="50"/>
    </row>
    <row r="157" spans="1:36" ht="15" customHeight="1" x14ac:dyDescent="0.25">
      <c r="A157" s="50">
        <v>32</v>
      </c>
      <c r="B157" s="50" t="s">
        <v>923</v>
      </c>
      <c r="C157" s="50" t="s">
        <v>1357</v>
      </c>
      <c r="D157" s="50">
        <v>30</v>
      </c>
      <c r="E157" s="50" t="s">
        <v>1353</v>
      </c>
      <c r="F157" s="50">
        <v>0</v>
      </c>
      <c r="G157" s="50">
        <v>6.9</v>
      </c>
      <c r="H157" s="50">
        <v>46</v>
      </c>
      <c r="I157" s="50">
        <v>3.95</v>
      </c>
      <c r="J157" s="50">
        <v>91</v>
      </c>
      <c r="K157" s="50">
        <v>100</v>
      </c>
      <c r="L157" s="50">
        <v>6.6</v>
      </c>
      <c r="M157" s="50">
        <v>7.36</v>
      </c>
      <c r="N157" s="50">
        <v>44</v>
      </c>
      <c r="O157" s="50">
        <v>20.2</v>
      </c>
      <c r="P157" s="50">
        <v>11.1</v>
      </c>
      <c r="Q157" s="50">
        <v>55.9</v>
      </c>
      <c r="R157" s="50">
        <v>36.4</v>
      </c>
      <c r="S157" s="50">
        <v>10.3</v>
      </c>
      <c r="T157" s="50">
        <v>40</v>
      </c>
      <c r="U157" s="50">
        <v>15.19</v>
      </c>
      <c r="V157" s="50">
        <v>58.9</v>
      </c>
      <c r="W157" s="50">
        <v>55</v>
      </c>
      <c r="X157" s="50">
        <v>338</v>
      </c>
      <c r="Y157" s="50">
        <v>12.39</v>
      </c>
      <c r="Z157" s="50">
        <v>34.6</v>
      </c>
      <c r="AA157" s="50">
        <v>6.27</v>
      </c>
      <c r="AB157" s="50"/>
      <c r="AC157" s="50"/>
      <c r="AD157" s="50"/>
      <c r="AE157" s="50"/>
      <c r="AF157" s="50"/>
      <c r="AG157" s="50"/>
      <c r="AH157" s="50"/>
      <c r="AI157" s="50"/>
      <c r="AJ157" s="50"/>
    </row>
    <row r="158" spans="1:36" ht="15" customHeight="1" x14ac:dyDescent="0.25">
      <c r="A158" s="50">
        <v>32</v>
      </c>
      <c r="B158" s="50" t="s">
        <v>923</v>
      </c>
      <c r="C158" s="50" t="s">
        <v>1357</v>
      </c>
      <c r="D158" s="50">
        <v>30</v>
      </c>
      <c r="E158" s="50" t="s">
        <v>1353</v>
      </c>
      <c r="F158" s="50">
        <v>4</v>
      </c>
      <c r="G158" s="50">
        <v>6.5</v>
      </c>
      <c r="H158" s="50">
        <v>43</v>
      </c>
      <c r="I158" s="50">
        <v>3.84</v>
      </c>
      <c r="J158" s="50">
        <v>93</v>
      </c>
      <c r="K158" s="50">
        <v>94</v>
      </c>
      <c r="L158" s="50">
        <v>6.41</v>
      </c>
      <c r="M158" s="50">
        <v>6.77</v>
      </c>
      <c r="N158" s="50">
        <v>43</v>
      </c>
      <c r="O158" s="50">
        <v>19.2</v>
      </c>
      <c r="P158" s="50">
        <v>9.9</v>
      </c>
      <c r="Q158" s="50">
        <v>52.3</v>
      </c>
      <c r="R158" s="50">
        <v>37.299999999999997</v>
      </c>
      <c r="S158" s="50">
        <v>11</v>
      </c>
      <c r="T158" s="50">
        <v>44</v>
      </c>
      <c r="U158" s="50">
        <v>14.15</v>
      </c>
      <c r="V158" s="50">
        <v>61.5</v>
      </c>
      <c r="W158" s="50">
        <v>55</v>
      </c>
      <c r="X158" s="50">
        <v>356</v>
      </c>
      <c r="Y158" s="50">
        <v>12.44</v>
      </c>
      <c r="Z158" s="50">
        <v>33.6</v>
      </c>
      <c r="AA158" s="50">
        <v>6.34</v>
      </c>
      <c r="AB158" s="50"/>
      <c r="AC158" s="50"/>
      <c r="AD158" s="50"/>
      <c r="AE158" s="50"/>
      <c r="AF158" s="50"/>
      <c r="AG158" s="50"/>
      <c r="AH158" s="50"/>
      <c r="AI158" s="50"/>
      <c r="AJ158" s="50"/>
    </row>
    <row r="159" spans="1:36" ht="15" customHeight="1" x14ac:dyDescent="0.25">
      <c r="A159" s="50">
        <v>32</v>
      </c>
      <c r="B159" s="50" t="s">
        <v>923</v>
      </c>
      <c r="C159" s="50" t="s">
        <v>1357</v>
      </c>
      <c r="D159" s="50">
        <v>30</v>
      </c>
      <c r="E159" s="50" t="s">
        <v>1353</v>
      </c>
      <c r="F159" s="50">
        <v>8</v>
      </c>
      <c r="G159" s="50">
        <v>5.9</v>
      </c>
      <c r="H159" s="50">
        <v>41</v>
      </c>
      <c r="I159" s="50">
        <v>3.65</v>
      </c>
      <c r="J159" s="50">
        <v>98</v>
      </c>
      <c r="K159" s="50">
        <v>89</v>
      </c>
      <c r="L159" s="50">
        <v>5.69</v>
      </c>
      <c r="M159" s="50">
        <v>6.14</v>
      </c>
      <c r="N159" s="50">
        <v>43</v>
      </c>
      <c r="O159" s="50">
        <v>17.399999999999999</v>
      </c>
      <c r="P159" s="50">
        <v>10.199999999999999</v>
      </c>
      <c r="Q159" s="50">
        <v>50.5</v>
      </c>
      <c r="R159" s="50">
        <v>40.200000000000003</v>
      </c>
      <c r="S159" s="50">
        <v>17.2</v>
      </c>
      <c r="T159" s="50">
        <v>44</v>
      </c>
      <c r="U159" s="50">
        <v>14.35</v>
      </c>
      <c r="V159" s="50">
        <v>63.8</v>
      </c>
      <c r="W159" s="50">
        <v>57</v>
      </c>
      <c r="X159" s="50">
        <v>368</v>
      </c>
      <c r="Y159" s="50">
        <v>11.63</v>
      </c>
      <c r="Z159" s="50">
        <v>36</v>
      </c>
      <c r="AA159" s="50">
        <v>6.28</v>
      </c>
      <c r="AB159" s="50"/>
      <c r="AC159" s="50"/>
      <c r="AD159" s="50"/>
      <c r="AE159" s="50"/>
      <c r="AF159" s="50"/>
      <c r="AG159" s="50"/>
      <c r="AH159" s="50"/>
      <c r="AI159" s="50"/>
      <c r="AJ159" s="50"/>
    </row>
    <row r="160" spans="1:36" ht="15" customHeight="1" x14ac:dyDescent="0.25">
      <c r="A160" s="50">
        <v>32</v>
      </c>
      <c r="B160" s="50" t="s">
        <v>923</v>
      </c>
      <c r="C160" s="50" t="s">
        <v>1357</v>
      </c>
      <c r="D160" s="50">
        <v>30</v>
      </c>
      <c r="E160" s="50" t="s">
        <v>1353</v>
      </c>
      <c r="F160" s="50">
        <v>12</v>
      </c>
      <c r="G160" s="50">
        <v>5.6</v>
      </c>
      <c r="H160" s="50">
        <v>38</v>
      </c>
      <c r="I160" s="50">
        <v>3.39</v>
      </c>
      <c r="J160" s="50">
        <v>102</v>
      </c>
      <c r="K160" s="50">
        <v>83</v>
      </c>
      <c r="L160" s="50">
        <v>5.44</v>
      </c>
      <c r="M160" s="50">
        <v>5.87</v>
      </c>
      <c r="N160" s="50">
        <v>40</v>
      </c>
      <c r="O160" s="50">
        <v>17.5</v>
      </c>
      <c r="P160" s="50">
        <v>9.1</v>
      </c>
      <c r="Q160" s="50">
        <v>48.9</v>
      </c>
      <c r="R160" s="50">
        <v>44.1</v>
      </c>
      <c r="S160" s="50">
        <v>18</v>
      </c>
      <c r="T160" s="50">
        <v>44</v>
      </c>
      <c r="U160" s="50">
        <v>13.76</v>
      </c>
      <c r="V160" s="50">
        <v>63.1</v>
      </c>
      <c r="W160" s="50">
        <v>59</v>
      </c>
      <c r="X160" s="50">
        <v>382</v>
      </c>
      <c r="Y160" s="50">
        <v>11.71</v>
      </c>
      <c r="Z160" s="50">
        <v>36.200000000000003</v>
      </c>
      <c r="AA160" s="50">
        <v>6.3</v>
      </c>
      <c r="AB160" s="50"/>
      <c r="AC160" s="50"/>
      <c r="AD160" s="50"/>
      <c r="AE160" s="50"/>
      <c r="AF160" s="50"/>
      <c r="AG160" s="50"/>
      <c r="AH160" s="50"/>
      <c r="AI160" s="50"/>
      <c r="AJ160" s="50"/>
    </row>
    <row r="161" spans="1:36" ht="15" customHeight="1" x14ac:dyDescent="0.25">
      <c r="A161" s="50">
        <v>32</v>
      </c>
      <c r="B161" s="50" t="s">
        <v>923</v>
      </c>
      <c r="C161" s="50" t="s">
        <v>1357</v>
      </c>
      <c r="D161" s="50">
        <v>30</v>
      </c>
      <c r="E161" s="50" t="s">
        <v>1353</v>
      </c>
      <c r="F161" s="50">
        <v>21</v>
      </c>
      <c r="G161" s="50">
        <v>4.4000000000000004</v>
      </c>
      <c r="H161" s="50">
        <v>36</v>
      </c>
      <c r="I161" s="50">
        <v>2.91</v>
      </c>
      <c r="J161" s="50">
        <v>109</v>
      </c>
      <c r="K161" s="50">
        <v>71</v>
      </c>
      <c r="L161" s="50">
        <v>4.7</v>
      </c>
      <c r="M161" s="50">
        <v>5.13</v>
      </c>
      <c r="N161" s="50">
        <v>32</v>
      </c>
      <c r="O161" s="50">
        <v>14.6</v>
      </c>
      <c r="P161" s="50">
        <v>8.3000000000000007</v>
      </c>
      <c r="Q161" s="50">
        <v>40.200000000000003</v>
      </c>
      <c r="R161" s="50">
        <v>47.7</v>
      </c>
      <c r="S161" s="50">
        <v>22</v>
      </c>
      <c r="T161" s="50">
        <v>53</v>
      </c>
      <c r="U161" s="50">
        <v>13.66</v>
      </c>
      <c r="V161" s="50">
        <v>65.8</v>
      </c>
      <c r="W161" s="50">
        <v>64</v>
      </c>
      <c r="X161" s="50">
        <v>435</v>
      </c>
      <c r="Y161" s="50">
        <v>11.98</v>
      </c>
      <c r="Z161" s="50">
        <v>36.700000000000003</v>
      </c>
      <c r="AA161" s="50">
        <v>6.19</v>
      </c>
      <c r="AB161" s="50"/>
      <c r="AC161" s="50"/>
      <c r="AD161" s="50"/>
      <c r="AE161" s="50"/>
      <c r="AF161" s="50"/>
      <c r="AG161" s="50"/>
      <c r="AH161" s="50"/>
      <c r="AI161" s="50"/>
      <c r="AJ161" s="50"/>
    </row>
    <row r="162" spans="1:36" ht="15" customHeight="1" x14ac:dyDescent="0.25">
      <c r="A162" s="50">
        <v>33</v>
      </c>
      <c r="B162" s="50" t="s">
        <v>923</v>
      </c>
      <c r="C162" s="50" t="s">
        <v>1352</v>
      </c>
      <c r="D162" s="50">
        <v>47</v>
      </c>
      <c r="E162" s="50" t="s">
        <v>1353</v>
      </c>
      <c r="F162" s="50">
        <v>0</v>
      </c>
      <c r="G162" s="50">
        <v>6.8</v>
      </c>
      <c r="H162" s="50">
        <v>38</v>
      </c>
      <c r="I162" s="50">
        <v>3.39</v>
      </c>
      <c r="J162" s="50">
        <v>102</v>
      </c>
      <c r="K162" s="50">
        <v>100</v>
      </c>
      <c r="L162" s="50">
        <v>6.35</v>
      </c>
      <c r="M162" s="50">
        <v>6.25</v>
      </c>
      <c r="N162" s="50">
        <v>40</v>
      </c>
      <c r="O162" s="50">
        <v>16.399999999999999</v>
      </c>
      <c r="P162" s="50">
        <v>12.1</v>
      </c>
      <c r="Q162" s="50">
        <v>39.5</v>
      </c>
      <c r="R162" s="50">
        <v>38.200000000000003</v>
      </c>
      <c r="S162" s="50">
        <v>16.399999999999999</v>
      </c>
      <c r="T162" s="50">
        <v>39</v>
      </c>
      <c r="U162" s="50">
        <v>10.48</v>
      </c>
      <c r="V162" s="50">
        <v>54.6</v>
      </c>
      <c r="W162" s="50">
        <v>49</v>
      </c>
      <c r="X162" s="50">
        <v>284</v>
      </c>
      <c r="Y162" s="50">
        <v>14.47</v>
      </c>
      <c r="Z162" s="50">
        <v>29.4</v>
      </c>
      <c r="AA162" s="50">
        <v>4.5</v>
      </c>
      <c r="AB162" s="50"/>
      <c r="AC162" s="50"/>
      <c r="AD162" s="50"/>
      <c r="AE162" s="50"/>
      <c r="AF162" s="50"/>
      <c r="AG162" s="50"/>
      <c r="AH162" s="50"/>
      <c r="AI162" s="50"/>
      <c r="AJ162" s="50"/>
    </row>
    <row r="163" spans="1:36" ht="15" customHeight="1" x14ac:dyDescent="0.25">
      <c r="A163" s="50">
        <v>33</v>
      </c>
      <c r="B163" s="50" t="s">
        <v>923</v>
      </c>
      <c r="C163" s="50" t="s">
        <v>1352</v>
      </c>
      <c r="D163" s="50">
        <v>47</v>
      </c>
      <c r="E163" s="50" t="s">
        <v>1353</v>
      </c>
      <c r="F163" s="50">
        <v>4</v>
      </c>
      <c r="G163" s="50">
        <v>6.7</v>
      </c>
      <c r="H163" s="50">
        <v>36</v>
      </c>
      <c r="I163" s="50">
        <v>3.26</v>
      </c>
      <c r="J163" s="50">
        <v>103</v>
      </c>
      <c r="K163" s="50">
        <v>94</v>
      </c>
      <c r="L163" s="50">
        <v>6.17</v>
      </c>
      <c r="M163" s="50">
        <v>6.32</v>
      </c>
      <c r="N163" s="50">
        <v>40</v>
      </c>
      <c r="O163" s="50">
        <v>17.3</v>
      </c>
      <c r="P163" s="50">
        <v>12.5</v>
      </c>
      <c r="Q163" s="50">
        <v>41.2</v>
      </c>
      <c r="R163" s="50">
        <v>38.200000000000003</v>
      </c>
      <c r="S163" s="50">
        <v>19</v>
      </c>
      <c r="T163" s="50">
        <v>37</v>
      </c>
      <c r="U163" s="50">
        <v>10.69</v>
      </c>
      <c r="V163" s="50">
        <v>57.3</v>
      </c>
      <c r="W163" s="50">
        <v>51</v>
      </c>
      <c r="X163" s="50">
        <v>294</v>
      </c>
      <c r="Y163" s="50">
        <v>13.85</v>
      </c>
      <c r="Z163" s="50">
        <v>28.8</v>
      </c>
      <c r="AA163" s="50">
        <v>4.3099999999999996</v>
      </c>
      <c r="AB163" s="50"/>
      <c r="AC163" s="50"/>
      <c r="AD163" s="50"/>
      <c r="AE163" s="50"/>
      <c r="AF163" s="50"/>
      <c r="AG163" s="50"/>
      <c r="AH163" s="50"/>
      <c r="AI163" s="50"/>
      <c r="AJ163" s="50"/>
    </row>
    <row r="164" spans="1:36" ht="15" customHeight="1" x14ac:dyDescent="0.25">
      <c r="A164" s="50">
        <v>33</v>
      </c>
      <c r="B164" s="50" t="s">
        <v>923</v>
      </c>
      <c r="C164" s="50" t="s">
        <v>1352</v>
      </c>
      <c r="D164" s="50">
        <v>47</v>
      </c>
      <c r="E164" s="50" t="s">
        <v>1353</v>
      </c>
      <c r="F164" s="50">
        <v>8</v>
      </c>
      <c r="G164" s="50">
        <v>6</v>
      </c>
      <c r="H164" s="50">
        <v>35</v>
      </c>
      <c r="I164" s="50">
        <v>3.1</v>
      </c>
      <c r="J164" s="50">
        <v>107</v>
      </c>
      <c r="K164" s="50">
        <v>89</v>
      </c>
      <c r="L164" s="50">
        <v>5.54</v>
      </c>
      <c r="M164" s="50">
        <v>6.22</v>
      </c>
      <c r="N164" s="50">
        <v>39</v>
      </c>
      <c r="O164" s="50">
        <v>15.7</v>
      </c>
      <c r="P164" s="50">
        <v>11.4</v>
      </c>
      <c r="Q164" s="50">
        <v>37.200000000000003</v>
      </c>
      <c r="R164" s="50">
        <v>45.7</v>
      </c>
      <c r="S164" s="50">
        <v>21</v>
      </c>
      <c r="T164" s="50">
        <v>40</v>
      </c>
      <c r="U164" s="50">
        <v>10.17</v>
      </c>
      <c r="V164" s="50">
        <v>56.1</v>
      </c>
      <c r="W164" s="50">
        <v>54</v>
      </c>
      <c r="X164" s="50">
        <v>302</v>
      </c>
      <c r="Y164" s="50">
        <v>13.3</v>
      </c>
      <c r="Z164" s="50">
        <v>29.8</v>
      </c>
      <c r="AA164" s="50">
        <v>4.57</v>
      </c>
      <c r="AB164" s="50"/>
      <c r="AC164" s="50"/>
      <c r="AD164" s="50"/>
      <c r="AE164" s="50"/>
      <c r="AF164" s="50"/>
      <c r="AG164" s="50"/>
      <c r="AH164" s="50"/>
      <c r="AI164" s="50"/>
      <c r="AJ164" s="50"/>
    </row>
    <row r="165" spans="1:36" ht="15" customHeight="1" x14ac:dyDescent="0.25">
      <c r="A165" s="50">
        <v>33</v>
      </c>
      <c r="B165" s="50" t="s">
        <v>923</v>
      </c>
      <c r="C165" s="50" t="s">
        <v>1352</v>
      </c>
      <c r="D165" s="50">
        <v>47</v>
      </c>
      <c r="E165" s="50" t="s">
        <v>1353</v>
      </c>
      <c r="F165" s="50">
        <v>12</v>
      </c>
      <c r="G165" s="50">
        <v>5.6</v>
      </c>
      <c r="H165" s="50">
        <v>34</v>
      </c>
      <c r="I165" s="50">
        <v>2.94</v>
      </c>
      <c r="J165" s="50">
        <v>109</v>
      </c>
      <c r="K165" s="50">
        <v>83</v>
      </c>
      <c r="L165" s="50">
        <v>5.26</v>
      </c>
      <c r="M165" s="50">
        <v>5.47</v>
      </c>
      <c r="N165" s="50">
        <v>37</v>
      </c>
      <c r="O165" s="50">
        <v>15.1</v>
      </c>
      <c r="P165" s="50">
        <v>12</v>
      </c>
      <c r="Q165" s="50">
        <v>39.799999999999997</v>
      </c>
      <c r="R165" s="50">
        <v>45.4</v>
      </c>
      <c r="S165" s="50">
        <v>23.7</v>
      </c>
      <c r="T165" s="50">
        <v>43</v>
      </c>
      <c r="U165" s="50">
        <v>9.99</v>
      </c>
      <c r="V165" s="50">
        <v>57.7</v>
      </c>
      <c r="W165" s="50">
        <v>55</v>
      </c>
      <c r="X165" s="50">
        <v>327</v>
      </c>
      <c r="Y165" s="50">
        <v>12.73</v>
      </c>
      <c r="Z165" s="50">
        <v>32.799999999999997</v>
      </c>
      <c r="AA165" s="50">
        <v>4.9000000000000004</v>
      </c>
      <c r="AB165" s="50"/>
      <c r="AC165" s="50"/>
      <c r="AD165" s="50"/>
      <c r="AE165" s="50"/>
      <c r="AF165" s="50"/>
      <c r="AG165" s="50"/>
      <c r="AH165" s="50"/>
      <c r="AI165" s="50"/>
      <c r="AJ165" s="50"/>
    </row>
    <row r="166" spans="1:36" ht="15" customHeight="1" x14ac:dyDescent="0.25">
      <c r="A166" s="50">
        <v>33</v>
      </c>
      <c r="B166" s="50" t="s">
        <v>923</v>
      </c>
      <c r="C166" s="50" t="s">
        <v>1352</v>
      </c>
      <c r="D166" s="50">
        <v>47</v>
      </c>
      <c r="E166" s="50" t="s">
        <v>1353</v>
      </c>
      <c r="F166" s="50">
        <v>21</v>
      </c>
      <c r="G166" s="50">
        <v>4.5999999999999996</v>
      </c>
      <c r="H166" s="50">
        <v>30</v>
      </c>
      <c r="I166" s="50">
        <v>2.5</v>
      </c>
      <c r="J166" s="50">
        <v>116</v>
      </c>
      <c r="K166" s="50">
        <v>71</v>
      </c>
      <c r="L166" s="50">
        <v>4.3899999999999997</v>
      </c>
      <c r="M166" s="50">
        <v>4.58</v>
      </c>
      <c r="N166" s="50">
        <v>29</v>
      </c>
      <c r="O166" s="50">
        <v>14.6</v>
      </c>
      <c r="P166" s="50">
        <v>10.5</v>
      </c>
      <c r="Q166" s="50">
        <v>32.4</v>
      </c>
      <c r="R166" s="50">
        <v>52.1</v>
      </c>
      <c r="S166" s="50">
        <v>26.2</v>
      </c>
      <c r="T166" s="50">
        <v>47</v>
      </c>
      <c r="U166" s="50">
        <v>9.48</v>
      </c>
      <c r="V166" s="50">
        <v>60.9</v>
      </c>
      <c r="W166" s="50">
        <v>56</v>
      </c>
      <c r="X166" s="50">
        <v>371</v>
      </c>
      <c r="Y166" s="50">
        <v>12.34</v>
      </c>
      <c r="Z166" s="50">
        <v>36.6</v>
      </c>
      <c r="AA166" s="50">
        <v>5.1100000000000003</v>
      </c>
      <c r="AB166" s="50"/>
      <c r="AC166" s="50"/>
      <c r="AD166" s="50"/>
      <c r="AE166" s="50"/>
      <c r="AF166" s="50"/>
      <c r="AG166" s="50"/>
      <c r="AH166" s="50"/>
      <c r="AI166" s="50"/>
      <c r="AJ166" s="50"/>
    </row>
    <row r="167" spans="1:36" ht="15" customHeight="1" x14ac:dyDescent="0.25">
      <c r="A167" s="50">
        <v>34</v>
      </c>
      <c r="B167" s="50" t="s">
        <v>923</v>
      </c>
      <c r="C167" s="50" t="s">
        <v>1352</v>
      </c>
      <c r="D167" s="50">
        <v>34</v>
      </c>
      <c r="E167" s="50" t="s">
        <v>1353</v>
      </c>
      <c r="F167" s="50">
        <v>0</v>
      </c>
      <c r="G167" s="50">
        <v>6.5</v>
      </c>
      <c r="H167" s="50">
        <v>41</v>
      </c>
      <c r="I167" s="50">
        <v>3.76</v>
      </c>
      <c r="J167" s="50">
        <v>89</v>
      </c>
      <c r="K167" s="50">
        <v>100</v>
      </c>
      <c r="L167" s="50">
        <v>6.26</v>
      </c>
      <c r="M167" s="50">
        <v>6.27</v>
      </c>
      <c r="N167" s="50">
        <v>43</v>
      </c>
      <c r="O167" s="50">
        <v>9.4</v>
      </c>
      <c r="P167" s="50">
        <v>8.8000000000000007</v>
      </c>
      <c r="Q167" s="50">
        <v>38.1</v>
      </c>
      <c r="R167" s="50">
        <v>33.4</v>
      </c>
      <c r="S167" s="50">
        <v>17.7</v>
      </c>
      <c r="T167" s="50">
        <v>49</v>
      </c>
      <c r="U167" s="50">
        <v>6.25</v>
      </c>
      <c r="V167" s="50">
        <v>54.1</v>
      </c>
      <c r="W167" s="50">
        <v>34</v>
      </c>
      <c r="X167" s="50">
        <v>270</v>
      </c>
      <c r="Y167" s="50">
        <v>15.83</v>
      </c>
      <c r="Z167" s="50">
        <v>31.8</v>
      </c>
      <c r="AA167" s="50">
        <v>5.89</v>
      </c>
      <c r="AB167" s="50"/>
      <c r="AC167" s="50"/>
      <c r="AD167" s="50"/>
      <c r="AE167" s="50"/>
      <c r="AF167" s="50"/>
      <c r="AG167" s="50"/>
      <c r="AH167" s="50"/>
      <c r="AI167" s="50"/>
      <c r="AJ167" s="50"/>
    </row>
    <row r="168" spans="1:36" ht="15" customHeight="1" x14ac:dyDescent="0.25">
      <c r="A168" s="50">
        <v>34</v>
      </c>
      <c r="B168" s="50" t="s">
        <v>923</v>
      </c>
      <c r="C168" s="50" t="s">
        <v>1352</v>
      </c>
      <c r="D168" s="50">
        <v>34</v>
      </c>
      <c r="E168" s="50" t="s">
        <v>1353</v>
      </c>
      <c r="F168" s="50">
        <v>4</v>
      </c>
      <c r="G168" s="50">
        <v>6.3</v>
      </c>
      <c r="H168" s="50">
        <v>40</v>
      </c>
      <c r="I168" s="50">
        <v>3.61</v>
      </c>
      <c r="J168" s="50">
        <v>93</v>
      </c>
      <c r="K168" s="50">
        <v>94</v>
      </c>
      <c r="L168" s="50">
        <v>6.28</v>
      </c>
      <c r="M168" s="50">
        <v>6.14</v>
      </c>
      <c r="N168" s="50">
        <v>44</v>
      </c>
      <c r="O168" s="50">
        <v>10</v>
      </c>
      <c r="P168" s="50">
        <v>8.8000000000000007</v>
      </c>
      <c r="Q168" s="50">
        <v>40.1</v>
      </c>
      <c r="R168" s="50">
        <v>34.700000000000003</v>
      </c>
      <c r="S168" s="50">
        <v>18</v>
      </c>
      <c r="T168" s="50">
        <v>48</v>
      </c>
      <c r="U168" s="50">
        <v>5.66</v>
      </c>
      <c r="V168" s="50">
        <v>53.2</v>
      </c>
      <c r="W168" s="50">
        <v>36</v>
      </c>
      <c r="X168" s="50">
        <v>278</v>
      </c>
      <c r="Y168" s="50">
        <v>15.63</v>
      </c>
      <c r="Z168" s="50">
        <v>31.9</v>
      </c>
      <c r="AA168" s="50">
        <v>5.98</v>
      </c>
      <c r="AB168" s="50"/>
      <c r="AC168" s="50"/>
      <c r="AD168" s="50"/>
      <c r="AE168" s="50"/>
      <c r="AF168" s="50"/>
      <c r="AG168" s="50"/>
      <c r="AH168" s="50"/>
      <c r="AI168" s="50"/>
      <c r="AJ168" s="50"/>
    </row>
    <row r="169" spans="1:36" ht="15" customHeight="1" x14ac:dyDescent="0.25">
      <c r="A169" s="50">
        <v>34</v>
      </c>
      <c r="B169" s="50" t="s">
        <v>923</v>
      </c>
      <c r="C169" s="50" t="s">
        <v>1352</v>
      </c>
      <c r="D169" s="50">
        <v>34</v>
      </c>
      <c r="E169" s="50" t="s">
        <v>1353</v>
      </c>
      <c r="F169" s="50">
        <v>8</v>
      </c>
      <c r="G169" s="50">
        <v>5.6</v>
      </c>
      <c r="H169" s="50">
        <v>36</v>
      </c>
      <c r="I169" s="50">
        <v>3.52</v>
      </c>
      <c r="J169" s="50">
        <v>98</v>
      </c>
      <c r="K169" s="50">
        <v>89</v>
      </c>
      <c r="L169" s="50">
        <v>5.59</v>
      </c>
      <c r="M169" s="50">
        <v>5.46</v>
      </c>
      <c r="N169" s="50">
        <v>39</v>
      </c>
      <c r="O169" s="50">
        <v>9.3000000000000007</v>
      </c>
      <c r="P169" s="50">
        <v>9.6</v>
      </c>
      <c r="Q169" s="50">
        <v>35.700000000000003</v>
      </c>
      <c r="R169" s="50">
        <v>39</v>
      </c>
      <c r="S169" s="50">
        <v>19.5</v>
      </c>
      <c r="T169" s="50">
        <v>52</v>
      </c>
      <c r="U169" s="50">
        <v>6.25</v>
      </c>
      <c r="V169" s="50">
        <v>55.3</v>
      </c>
      <c r="W169" s="50">
        <v>39</v>
      </c>
      <c r="X169" s="50">
        <v>312</v>
      </c>
      <c r="Y169" s="50">
        <v>14.78</v>
      </c>
      <c r="Z169" s="50">
        <v>33.700000000000003</v>
      </c>
      <c r="AA169" s="50">
        <v>6</v>
      </c>
      <c r="AB169" s="50"/>
      <c r="AC169" s="50"/>
      <c r="AD169" s="50"/>
      <c r="AE169" s="50"/>
      <c r="AF169" s="50"/>
      <c r="AG169" s="50"/>
      <c r="AH169" s="50"/>
      <c r="AI169" s="50"/>
      <c r="AJ169" s="50"/>
    </row>
    <row r="170" spans="1:36" ht="15" customHeight="1" x14ac:dyDescent="0.25">
      <c r="A170" s="50">
        <v>34</v>
      </c>
      <c r="B170" s="50" t="s">
        <v>923</v>
      </c>
      <c r="C170" s="50" t="s">
        <v>1352</v>
      </c>
      <c r="D170" s="50">
        <v>34</v>
      </c>
      <c r="E170" s="50" t="s">
        <v>1353</v>
      </c>
      <c r="F170" s="50">
        <v>12</v>
      </c>
      <c r="G170" s="50">
        <v>5.0999999999999996</v>
      </c>
      <c r="H170" s="50">
        <v>35</v>
      </c>
      <c r="I170" s="50">
        <v>3.2</v>
      </c>
      <c r="J170" s="50">
        <v>100</v>
      </c>
      <c r="K170" s="50">
        <v>83</v>
      </c>
      <c r="L170" s="50">
        <v>4.8600000000000003</v>
      </c>
      <c r="M170" s="50">
        <v>5.05</v>
      </c>
      <c r="N170" s="50">
        <v>38</v>
      </c>
      <c r="O170" s="50">
        <v>8</v>
      </c>
      <c r="P170" s="50">
        <v>9.1999999999999993</v>
      </c>
      <c r="Q170" s="50">
        <v>33.1</v>
      </c>
      <c r="R170" s="50">
        <v>41</v>
      </c>
      <c r="S170" s="50">
        <v>23</v>
      </c>
      <c r="T170" s="50">
        <v>56</v>
      </c>
      <c r="U170" s="50">
        <v>5.75</v>
      </c>
      <c r="V170" s="50">
        <v>59.2</v>
      </c>
      <c r="W170" s="50">
        <v>40</v>
      </c>
      <c r="X170" s="50">
        <v>323</v>
      </c>
      <c r="Y170" s="50">
        <v>13.88</v>
      </c>
      <c r="Z170" s="50">
        <v>32.5</v>
      </c>
      <c r="AA170" s="50">
        <v>6.2</v>
      </c>
      <c r="AB170" s="50"/>
      <c r="AC170" s="50"/>
      <c r="AD170" s="50"/>
      <c r="AE170" s="50"/>
      <c r="AF170" s="50"/>
      <c r="AG170" s="50"/>
      <c r="AH170" s="50"/>
      <c r="AI170" s="50"/>
      <c r="AJ170" s="50"/>
    </row>
    <row r="171" spans="1:36" ht="15" customHeight="1" x14ac:dyDescent="0.25">
      <c r="A171" s="50">
        <v>34</v>
      </c>
      <c r="B171" s="50" t="s">
        <v>923</v>
      </c>
      <c r="C171" s="50" t="s">
        <v>1352</v>
      </c>
      <c r="D171" s="50">
        <v>34</v>
      </c>
      <c r="E171" s="50" t="s">
        <v>1353</v>
      </c>
      <c r="F171" s="50">
        <v>21</v>
      </c>
      <c r="G171" s="50">
        <v>4.3</v>
      </c>
      <c r="H171" s="50">
        <v>31</v>
      </c>
      <c r="I171" s="50">
        <v>2.75</v>
      </c>
      <c r="J171" s="50">
        <v>105</v>
      </c>
      <c r="K171" s="50">
        <v>71</v>
      </c>
      <c r="L171" s="50">
        <v>4.0599999999999996</v>
      </c>
      <c r="M171" s="50">
        <v>4.1399999999999997</v>
      </c>
      <c r="N171" s="50">
        <v>34</v>
      </c>
      <c r="O171" s="50">
        <v>7.8</v>
      </c>
      <c r="P171" s="50">
        <v>8.4</v>
      </c>
      <c r="Q171" s="50">
        <v>28.4</v>
      </c>
      <c r="R171" s="50">
        <v>45.3</v>
      </c>
      <c r="S171" s="50">
        <v>23.8</v>
      </c>
      <c r="T171" s="50">
        <v>57</v>
      </c>
      <c r="U171" s="50">
        <v>4.84</v>
      </c>
      <c r="V171" s="50">
        <v>62.4</v>
      </c>
      <c r="W171" s="50">
        <v>46</v>
      </c>
      <c r="X171" s="50">
        <v>362</v>
      </c>
      <c r="Y171" s="50">
        <v>12.86</v>
      </c>
      <c r="Z171" s="50">
        <v>35.299999999999997</v>
      </c>
      <c r="AA171" s="50">
        <v>6.21</v>
      </c>
      <c r="AB171" s="50"/>
      <c r="AC171" s="50"/>
      <c r="AD171" s="50"/>
      <c r="AE171" s="50"/>
      <c r="AF171" s="50"/>
      <c r="AG171" s="50"/>
      <c r="AH171" s="50"/>
      <c r="AI171" s="50"/>
      <c r="AJ171" s="50"/>
    </row>
    <row r="172" spans="1:36" ht="15" customHeight="1" x14ac:dyDescent="0.25">
      <c r="A172" s="50">
        <v>35</v>
      </c>
      <c r="B172" s="50" t="s">
        <v>923</v>
      </c>
      <c r="C172" s="50" t="s">
        <v>1352</v>
      </c>
      <c r="D172" s="50">
        <v>26</v>
      </c>
      <c r="E172" s="50" t="s">
        <v>1359</v>
      </c>
      <c r="F172" s="50">
        <v>0</v>
      </c>
      <c r="G172" s="50">
        <v>6.5</v>
      </c>
      <c r="H172" s="50">
        <v>48</v>
      </c>
      <c r="I172" s="50">
        <v>3.22</v>
      </c>
      <c r="J172" s="50">
        <v>111</v>
      </c>
      <c r="K172" s="50">
        <v>100</v>
      </c>
      <c r="L172" s="50">
        <v>6.37</v>
      </c>
      <c r="M172" s="50">
        <v>7.13</v>
      </c>
      <c r="N172" s="50">
        <v>54</v>
      </c>
      <c r="O172" s="50">
        <v>10.3</v>
      </c>
      <c r="P172" s="50">
        <v>10.199999999999999</v>
      </c>
      <c r="Q172" s="50">
        <v>40.4</v>
      </c>
      <c r="R172" s="50">
        <v>24.4</v>
      </c>
      <c r="S172" s="50">
        <v>22.8</v>
      </c>
      <c r="T172" s="50">
        <v>33</v>
      </c>
      <c r="U172" s="50">
        <v>13.4</v>
      </c>
      <c r="V172" s="50">
        <v>46.5</v>
      </c>
      <c r="W172" s="50">
        <v>56</v>
      </c>
      <c r="X172" s="50">
        <v>397</v>
      </c>
      <c r="Y172" s="50">
        <v>14.84</v>
      </c>
      <c r="Z172" s="50">
        <v>28.2</v>
      </c>
      <c r="AA172" s="50">
        <v>5.22</v>
      </c>
      <c r="AB172" s="50"/>
      <c r="AC172" s="50"/>
      <c r="AD172" s="50"/>
      <c r="AE172" s="50"/>
      <c r="AF172" s="50"/>
      <c r="AG172" s="50"/>
      <c r="AH172" s="50"/>
      <c r="AI172" s="50"/>
      <c r="AJ172" s="50"/>
    </row>
    <row r="173" spans="1:36" ht="15" customHeight="1" x14ac:dyDescent="0.25">
      <c r="A173" s="50">
        <v>35</v>
      </c>
      <c r="B173" s="50" t="s">
        <v>923</v>
      </c>
      <c r="C173" s="50" t="s">
        <v>1352</v>
      </c>
      <c r="D173" s="50">
        <v>26</v>
      </c>
      <c r="E173" s="50" t="s">
        <v>1359</v>
      </c>
      <c r="F173" s="50">
        <v>4</v>
      </c>
      <c r="G173" s="50">
        <v>6.1</v>
      </c>
      <c r="H173" s="50">
        <v>44</v>
      </c>
      <c r="I173" s="50">
        <v>3.11</v>
      </c>
      <c r="J173" s="50">
        <v>111</v>
      </c>
      <c r="K173" s="50">
        <v>94</v>
      </c>
      <c r="L173" s="50">
        <v>6.09</v>
      </c>
      <c r="M173" s="50">
        <v>6.67</v>
      </c>
      <c r="N173" s="50">
        <v>50</v>
      </c>
      <c r="O173" s="50">
        <v>9.6999999999999993</v>
      </c>
      <c r="P173" s="50">
        <v>10.4</v>
      </c>
      <c r="Q173" s="50">
        <v>41.5</v>
      </c>
      <c r="R173" s="50">
        <v>25.7</v>
      </c>
      <c r="S173" s="50">
        <v>25.8</v>
      </c>
      <c r="T173" s="50">
        <v>36</v>
      </c>
      <c r="U173" s="50">
        <v>13.04</v>
      </c>
      <c r="V173" s="50">
        <v>49.3</v>
      </c>
      <c r="W173" s="50">
        <v>57</v>
      </c>
      <c r="X173" s="50">
        <v>399</v>
      </c>
      <c r="Y173" s="50">
        <v>14.44</v>
      </c>
      <c r="Z173" s="50">
        <v>30.4</v>
      </c>
      <c r="AA173" s="50">
        <v>5.59</v>
      </c>
      <c r="AB173" s="50"/>
      <c r="AC173" s="50"/>
      <c r="AD173" s="50"/>
      <c r="AE173" s="50"/>
      <c r="AF173" s="50"/>
      <c r="AG173" s="50"/>
      <c r="AH173" s="50"/>
      <c r="AI173" s="50"/>
      <c r="AJ173" s="50"/>
    </row>
    <row r="174" spans="1:36" ht="15" customHeight="1" x14ac:dyDescent="0.25">
      <c r="A174" s="50">
        <v>35</v>
      </c>
      <c r="B174" s="50" t="s">
        <v>923</v>
      </c>
      <c r="C174" s="50" t="s">
        <v>1352</v>
      </c>
      <c r="D174" s="50">
        <v>26</v>
      </c>
      <c r="E174" s="50" t="s">
        <v>1359</v>
      </c>
      <c r="F174" s="50">
        <v>8</v>
      </c>
      <c r="G174" s="50">
        <v>5.7</v>
      </c>
      <c r="H174" s="50">
        <v>42</v>
      </c>
      <c r="I174" s="50">
        <v>2.85</v>
      </c>
      <c r="J174" s="50">
        <v>112</v>
      </c>
      <c r="K174" s="50">
        <v>89</v>
      </c>
      <c r="L174" s="50">
        <v>5.8</v>
      </c>
      <c r="M174" s="50">
        <v>6.14</v>
      </c>
      <c r="N174" s="50">
        <v>49</v>
      </c>
      <c r="O174" s="50">
        <v>10.5</v>
      </c>
      <c r="P174" s="50">
        <v>9.8000000000000007</v>
      </c>
      <c r="Q174" s="50">
        <v>36.1</v>
      </c>
      <c r="R174" s="50">
        <v>29.7</v>
      </c>
      <c r="S174" s="50">
        <v>26.8</v>
      </c>
      <c r="T174" s="50">
        <v>41</v>
      </c>
      <c r="U174" s="50">
        <v>12.66</v>
      </c>
      <c r="V174" s="50">
        <v>50.7</v>
      </c>
      <c r="W174" s="50">
        <v>58</v>
      </c>
      <c r="X174" s="50">
        <v>419</v>
      </c>
      <c r="Y174" s="50">
        <v>14.52</v>
      </c>
      <c r="Z174" s="50">
        <v>31.2</v>
      </c>
      <c r="AA174" s="50">
        <v>5.54</v>
      </c>
      <c r="AB174" s="50"/>
      <c r="AC174" s="50"/>
      <c r="AD174" s="50"/>
      <c r="AE174" s="50"/>
      <c r="AF174" s="50"/>
      <c r="AG174" s="50"/>
      <c r="AH174" s="50"/>
      <c r="AI174" s="50"/>
      <c r="AJ174" s="50"/>
    </row>
    <row r="175" spans="1:36" ht="15" customHeight="1" x14ac:dyDescent="0.25">
      <c r="A175" s="50">
        <v>35</v>
      </c>
      <c r="B175" s="50" t="s">
        <v>923</v>
      </c>
      <c r="C175" s="50" t="s">
        <v>1352</v>
      </c>
      <c r="D175" s="50">
        <v>26</v>
      </c>
      <c r="E175" s="50" t="s">
        <v>1359</v>
      </c>
      <c r="F175" s="50">
        <v>12</v>
      </c>
      <c r="G175" s="50">
        <v>5.0999999999999996</v>
      </c>
      <c r="H175" s="50">
        <v>39</v>
      </c>
      <c r="I175" s="50">
        <v>2.74</v>
      </c>
      <c r="J175" s="50">
        <v>119</v>
      </c>
      <c r="K175" s="50">
        <v>83</v>
      </c>
      <c r="L175" s="50">
        <v>5.26</v>
      </c>
      <c r="M175" s="50">
        <v>5.42</v>
      </c>
      <c r="N175" s="50">
        <v>43</v>
      </c>
      <c r="O175" s="50">
        <v>9.6999999999999993</v>
      </c>
      <c r="P175" s="50">
        <v>9.4</v>
      </c>
      <c r="Q175" s="50">
        <v>34.4</v>
      </c>
      <c r="R175" s="50">
        <v>37.299999999999997</v>
      </c>
      <c r="S175" s="50">
        <v>27</v>
      </c>
      <c r="T175" s="50">
        <v>44</v>
      </c>
      <c r="U175" s="50">
        <v>11.5</v>
      </c>
      <c r="V175" s="50">
        <v>52.7</v>
      </c>
      <c r="W175" s="50">
        <v>59</v>
      </c>
      <c r="X175" s="50">
        <v>436</v>
      </c>
      <c r="Y175" s="50">
        <v>13.14</v>
      </c>
      <c r="Z175" s="50">
        <v>31.6</v>
      </c>
      <c r="AA175" s="50">
        <v>6.04</v>
      </c>
      <c r="AB175" s="50"/>
      <c r="AC175" s="50"/>
      <c r="AD175" s="50"/>
      <c r="AE175" s="50"/>
      <c r="AF175" s="50"/>
      <c r="AG175" s="50"/>
      <c r="AH175" s="50"/>
      <c r="AI175" s="50"/>
      <c r="AJ175" s="50"/>
    </row>
    <row r="176" spans="1:36" ht="15" customHeight="1" x14ac:dyDescent="0.25">
      <c r="A176" s="50">
        <v>35</v>
      </c>
      <c r="B176" s="50" t="s">
        <v>923</v>
      </c>
      <c r="C176" s="50" t="s">
        <v>1352</v>
      </c>
      <c r="D176" s="50">
        <v>26</v>
      </c>
      <c r="E176" s="50" t="s">
        <v>1359</v>
      </c>
      <c r="F176" s="50">
        <v>21</v>
      </c>
      <c r="G176" s="50">
        <v>4.0999999999999996</v>
      </c>
      <c r="H176" s="50">
        <v>35</v>
      </c>
      <c r="I176" s="50">
        <v>2.35</v>
      </c>
      <c r="J176" s="50">
        <v>121</v>
      </c>
      <c r="K176" s="50">
        <v>71</v>
      </c>
      <c r="L176" s="50">
        <v>4.2</v>
      </c>
      <c r="M176" s="50">
        <v>4.4000000000000004</v>
      </c>
      <c r="N176" s="50">
        <v>41</v>
      </c>
      <c r="O176" s="50">
        <v>8.5</v>
      </c>
      <c r="P176" s="50">
        <v>9.5</v>
      </c>
      <c r="Q176" s="50">
        <v>30.4</v>
      </c>
      <c r="R176" s="50">
        <v>48</v>
      </c>
      <c r="S176" s="50">
        <v>31.9</v>
      </c>
      <c r="T176" s="50">
        <v>47</v>
      </c>
      <c r="U176" s="50">
        <v>10.84</v>
      </c>
      <c r="V176" s="50">
        <v>59.8</v>
      </c>
      <c r="W176" s="50">
        <v>70</v>
      </c>
      <c r="X176" s="50">
        <v>464</v>
      </c>
      <c r="Y176" s="50">
        <v>12.11</v>
      </c>
      <c r="Z176" s="50">
        <v>34.200000000000003</v>
      </c>
      <c r="AA176" s="50">
        <v>5.98</v>
      </c>
      <c r="AB176" s="50"/>
      <c r="AC176" s="50"/>
      <c r="AD176" s="50"/>
      <c r="AE176" s="50"/>
      <c r="AF176" s="50"/>
      <c r="AG176" s="50"/>
      <c r="AH176" s="50"/>
      <c r="AI176" s="50"/>
      <c r="AJ176" s="50"/>
    </row>
    <row r="177" spans="1:36" ht="15" customHeight="1" x14ac:dyDescent="0.25">
      <c r="A177" s="50">
        <v>36</v>
      </c>
      <c r="B177" s="50" t="s">
        <v>923</v>
      </c>
      <c r="C177" s="50" t="s">
        <v>1352</v>
      </c>
      <c r="D177" s="50">
        <v>46</v>
      </c>
      <c r="E177" s="50" t="s">
        <v>1359</v>
      </c>
      <c r="F177" s="50">
        <v>0</v>
      </c>
      <c r="G177" s="50">
        <v>7.1</v>
      </c>
      <c r="H177" s="50">
        <v>48</v>
      </c>
      <c r="I177" s="50">
        <v>2.8</v>
      </c>
      <c r="J177" s="50">
        <v>107</v>
      </c>
      <c r="K177" s="50">
        <v>100</v>
      </c>
      <c r="L177" s="50">
        <v>6.58</v>
      </c>
      <c r="M177" s="50">
        <v>6.97</v>
      </c>
      <c r="N177" s="50">
        <v>41</v>
      </c>
      <c r="O177" s="50">
        <v>13.1</v>
      </c>
      <c r="P177" s="50">
        <v>12.7</v>
      </c>
      <c r="Q177" s="50">
        <v>53</v>
      </c>
      <c r="R177" s="50">
        <v>32.9</v>
      </c>
      <c r="S177" s="50">
        <v>14</v>
      </c>
      <c r="T177" s="50">
        <v>46</v>
      </c>
      <c r="U177" s="50">
        <v>12.43</v>
      </c>
      <c r="V177" s="50">
        <v>55.3</v>
      </c>
      <c r="W177" s="50">
        <v>43</v>
      </c>
      <c r="X177" s="50">
        <v>387</v>
      </c>
      <c r="Y177" s="50">
        <v>11.63</v>
      </c>
      <c r="Z177" s="50">
        <v>22.2</v>
      </c>
      <c r="AA177" s="50">
        <v>5.96</v>
      </c>
      <c r="AB177" s="50"/>
      <c r="AC177" s="50"/>
      <c r="AD177" s="50"/>
      <c r="AE177" s="50"/>
      <c r="AF177" s="50"/>
      <c r="AG177" s="50"/>
      <c r="AH177" s="50"/>
      <c r="AI177" s="50"/>
      <c r="AJ177" s="50"/>
    </row>
    <row r="178" spans="1:36" ht="15" customHeight="1" x14ac:dyDescent="0.25">
      <c r="A178" s="50">
        <v>36</v>
      </c>
      <c r="B178" s="50" t="s">
        <v>923</v>
      </c>
      <c r="C178" s="50" t="s">
        <v>1352</v>
      </c>
      <c r="D178" s="50">
        <v>46</v>
      </c>
      <c r="E178" s="50" t="s">
        <v>1359</v>
      </c>
      <c r="F178" s="50">
        <v>4</v>
      </c>
      <c r="G178" s="50">
        <v>6.6</v>
      </c>
      <c r="H178" s="50">
        <v>45</v>
      </c>
      <c r="I178" s="50">
        <v>2.68</v>
      </c>
      <c r="J178" s="50">
        <v>110</v>
      </c>
      <c r="K178" s="50">
        <v>94</v>
      </c>
      <c r="L178" s="50">
        <v>6.08</v>
      </c>
      <c r="M178" s="50">
        <v>6.22</v>
      </c>
      <c r="N178" s="50">
        <v>40</v>
      </c>
      <c r="O178" s="50">
        <v>12.5</v>
      </c>
      <c r="P178" s="50">
        <v>11.9</v>
      </c>
      <c r="Q178" s="50">
        <v>47.2</v>
      </c>
      <c r="R178" s="50">
        <v>35.6</v>
      </c>
      <c r="S178" s="50">
        <v>14.9</v>
      </c>
      <c r="T178" s="50">
        <v>46</v>
      </c>
      <c r="U178" s="50">
        <v>11.47</v>
      </c>
      <c r="V178" s="50">
        <v>56.4</v>
      </c>
      <c r="W178" s="50">
        <v>45</v>
      </c>
      <c r="X178" s="50">
        <v>393</v>
      </c>
      <c r="Y178" s="50">
        <v>11.69</v>
      </c>
      <c r="Z178" s="50">
        <v>22.1</v>
      </c>
      <c r="AA178" s="50">
        <v>5.89</v>
      </c>
      <c r="AB178" s="50"/>
      <c r="AC178" s="50"/>
      <c r="AD178" s="50"/>
      <c r="AE178" s="50"/>
      <c r="AF178" s="50"/>
      <c r="AG178" s="50"/>
      <c r="AH178" s="50"/>
      <c r="AI178" s="50"/>
      <c r="AJ178" s="50"/>
    </row>
    <row r="179" spans="1:36" ht="15" customHeight="1" x14ac:dyDescent="0.25">
      <c r="A179" s="50">
        <v>36</v>
      </c>
      <c r="B179" s="50" t="s">
        <v>923</v>
      </c>
      <c r="C179" s="50" t="s">
        <v>1352</v>
      </c>
      <c r="D179" s="50">
        <v>46</v>
      </c>
      <c r="E179" s="50" t="s">
        <v>1359</v>
      </c>
      <c r="F179" s="50">
        <v>8</v>
      </c>
      <c r="G179" s="50">
        <v>6.1</v>
      </c>
      <c r="H179" s="50">
        <v>42</v>
      </c>
      <c r="I179" s="50">
        <v>2.52</v>
      </c>
      <c r="J179" s="50">
        <v>113</v>
      </c>
      <c r="K179" s="50">
        <v>89</v>
      </c>
      <c r="L179" s="50">
        <v>5.83</v>
      </c>
      <c r="M179" s="50">
        <v>6.16</v>
      </c>
      <c r="N179" s="50">
        <v>41</v>
      </c>
      <c r="O179" s="50">
        <v>12.2</v>
      </c>
      <c r="P179" s="50">
        <v>11.9</v>
      </c>
      <c r="Q179" s="50">
        <v>44.7</v>
      </c>
      <c r="R179" s="50">
        <v>36.700000000000003</v>
      </c>
      <c r="S179" s="50">
        <v>18</v>
      </c>
      <c r="T179" s="50">
        <v>51</v>
      </c>
      <c r="U179" s="50">
        <v>11.95</v>
      </c>
      <c r="V179" s="50">
        <v>57.1</v>
      </c>
      <c r="W179" s="50">
        <v>45</v>
      </c>
      <c r="X179" s="50">
        <v>427</v>
      </c>
      <c r="Y179" s="50">
        <v>11.57</v>
      </c>
      <c r="Z179" s="50">
        <v>25.6</v>
      </c>
      <c r="AA179" s="50">
        <v>6.29</v>
      </c>
      <c r="AB179" s="50"/>
      <c r="AC179" s="50"/>
      <c r="AD179" s="50"/>
      <c r="AE179" s="50"/>
      <c r="AF179" s="50"/>
      <c r="AG179" s="50"/>
      <c r="AH179" s="50"/>
      <c r="AI179" s="50"/>
      <c r="AJ179" s="50"/>
    </row>
    <row r="180" spans="1:36" ht="15" customHeight="1" x14ac:dyDescent="0.25">
      <c r="A180" s="50">
        <v>36</v>
      </c>
      <c r="B180" s="50" t="s">
        <v>923</v>
      </c>
      <c r="C180" s="50" t="s">
        <v>1352</v>
      </c>
      <c r="D180" s="50">
        <v>46</v>
      </c>
      <c r="E180" s="50" t="s">
        <v>1359</v>
      </c>
      <c r="F180" s="50">
        <v>12</v>
      </c>
      <c r="G180" s="50">
        <v>5.7</v>
      </c>
      <c r="H180" s="50">
        <v>39</v>
      </c>
      <c r="I180" s="50">
        <v>2.41</v>
      </c>
      <c r="J180" s="50">
        <v>114</v>
      </c>
      <c r="K180" s="50">
        <v>83</v>
      </c>
      <c r="L180" s="50">
        <v>5.3</v>
      </c>
      <c r="M180" s="50">
        <v>5.6</v>
      </c>
      <c r="N180" s="50">
        <v>39</v>
      </c>
      <c r="O180" s="50">
        <v>11.4</v>
      </c>
      <c r="P180" s="50">
        <v>11.4</v>
      </c>
      <c r="Q180" s="50">
        <v>43.3</v>
      </c>
      <c r="R180" s="50">
        <v>37.799999999999997</v>
      </c>
      <c r="S180" s="50">
        <v>20.399999999999999</v>
      </c>
      <c r="T180" s="50">
        <v>50</v>
      </c>
      <c r="U180" s="50">
        <v>10.78</v>
      </c>
      <c r="V180" s="50">
        <v>55.9</v>
      </c>
      <c r="W180" s="50">
        <v>46</v>
      </c>
      <c r="X180" s="50">
        <v>431</v>
      </c>
      <c r="Y180" s="50">
        <v>11</v>
      </c>
      <c r="Z180" s="50">
        <v>25.7</v>
      </c>
      <c r="AA180" s="50">
        <v>6.51</v>
      </c>
      <c r="AB180" s="50"/>
      <c r="AC180" s="50"/>
      <c r="AD180" s="50"/>
      <c r="AE180" s="50"/>
      <c r="AF180" s="50"/>
      <c r="AG180" s="50"/>
      <c r="AH180" s="50"/>
      <c r="AI180" s="50"/>
      <c r="AJ180" s="50"/>
    </row>
    <row r="181" spans="1:36" ht="15" customHeight="1" x14ac:dyDescent="0.25">
      <c r="A181" s="50">
        <v>36</v>
      </c>
      <c r="B181" s="50" t="s">
        <v>923</v>
      </c>
      <c r="C181" s="50" t="s">
        <v>1352</v>
      </c>
      <c r="D181" s="50">
        <v>46</v>
      </c>
      <c r="E181" s="50" t="s">
        <v>1359</v>
      </c>
      <c r="F181" s="50">
        <v>21</v>
      </c>
      <c r="G181" s="50">
        <v>4.7</v>
      </c>
      <c r="H181" s="50">
        <v>33</v>
      </c>
      <c r="I181" s="50">
        <v>2.06</v>
      </c>
      <c r="J181" s="50">
        <v>122</v>
      </c>
      <c r="K181" s="50">
        <v>71</v>
      </c>
      <c r="L181" s="50">
        <v>4.33</v>
      </c>
      <c r="M181" s="50">
        <v>5.2</v>
      </c>
      <c r="N181" s="50">
        <v>36</v>
      </c>
      <c r="O181" s="50">
        <v>11.7</v>
      </c>
      <c r="P181" s="50">
        <v>10</v>
      </c>
      <c r="Q181" s="50">
        <v>42.1</v>
      </c>
      <c r="R181" s="50">
        <v>44.6</v>
      </c>
      <c r="S181" s="50">
        <v>23</v>
      </c>
      <c r="T181" s="50">
        <v>58</v>
      </c>
      <c r="U181" s="50">
        <v>9.75</v>
      </c>
      <c r="V181" s="50">
        <v>58.1</v>
      </c>
      <c r="W181" s="50">
        <v>53</v>
      </c>
      <c r="X181" s="50">
        <v>452</v>
      </c>
      <c r="Y181" s="50">
        <v>10.62</v>
      </c>
      <c r="Z181" s="50">
        <v>31.7</v>
      </c>
      <c r="AA181" s="50">
        <v>6.76</v>
      </c>
      <c r="AB181" s="50"/>
      <c r="AC181" s="50"/>
      <c r="AD181" s="50"/>
      <c r="AE181" s="50"/>
      <c r="AF181" s="50"/>
      <c r="AG181" s="50"/>
      <c r="AH181" s="50"/>
      <c r="AI181" s="50"/>
      <c r="AJ181" s="50"/>
    </row>
    <row r="182" spans="1:36" ht="15" customHeight="1" x14ac:dyDescent="0.25">
      <c r="A182" s="50">
        <v>37</v>
      </c>
      <c r="B182" s="50" t="s">
        <v>923</v>
      </c>
      <c r="C182" s="50" t="s">
        <v>1357</v>
      </c>
      <c r="D182" s="50">
        <v>37</v>
      </c>
      <c r="E182" s="50" t="s">
        <v>1353</v>
      </c>
      <c r="F182" s="50">
        <v>0</v>
      </c>
      <c r="G182" s="50">
        <v>6.1</v>
      </c>
      <c r="H182" s="50">
        <v>44</v>
      </c>
      <c r="I182" s="50">
        <v>2.93</v>
      </c>
      <c r="J182" s="50">
        <v>100</v>
      </c>
      <c r="K182" s="50">
        <v>100</v>
      </c>
      <c r="L182" s="50">
        <v>7.26</v>
      </c>
      <c r="M182" s="50">
        <v>7.06</v>
      </c>
      <c r="N182" s="50">
        <v>46</v>
      </c>
      <c r="O182" s="50">
        <v>14.4</v>
      </c>
      <c r="P182" s="50">
        <v>11.1</v>
      </c>
      <c r="Q182" s="50">
        <v>59.4</v>
      </c>
      <c r="R182" s="50">
        <v>33.5</v>
      </c>
      <c r="S182" s="50">
        <v>20.9</v>
      </c>
      <c r="T182" s="50">
        <v>45</v>
      </c>
      <c r="U182" s="50">
        <v>10.75</v>
      </c>
      <c r="V182" s="50">
        <v>64.8</v>
      </c>
      <c r="W182" s="50">
        <v>44</v>
      </c>
      <c r="X182" s="50">
        <v>421</v>
      </c>
      <c r="Y182" s="50">
        <v>11.36</v>
      </c>
      <c r="Z182" s="50">
        <v>33</v>
      </c>
      <c r="AA182" s="50">
        <v>4.62</v>
      </c>
      <c r="AB182" s="50"/>
      <c r="AC182" s="50"/>
      <c r="AD182" s="50"/>
      <c r="AE182" s="50"/>
      <c r="AF182" s="50"/>
      <c r="AG182" s="50"/>
      <c r="AH182" s="50"/>
      <c r="AI182" s="50"/>
      <c r="AJ182" s="50"/>
    </row>
    <row r="183" spans="1:36" ht="15" customHeight="1" x14ac:dyDescent="0.25">
      <c r="A183" s="50">
        <v>37</v>
      </c>
      <c r="B183" s="50" t="s">
        <v>923</v>
      </c>
      <c r="C183" s="50" t="s">
        <v>1357</v>
      </c>
      <c r="D183" s="50">
        <v>37</v>
      </c>
      <c r="E183" s="50" t="s">
        <v>1353</v>
      </c>
      <c r="F183" s="50">
        <v>4</v>
      </c>
      <c r="G183" s="50">
        <v>5.6</v>
      </c>
      <c r="H183" s="50">
        <v>42</v>
      </c>
      <c r="I183" s="50">
        <v>2.73</v>
      </c>
      <c r="J183" s="50">
        <v>98</v>
      </c>
      <c r="K183" s="50">
        <v>94</v>
      </c>
      <c r="L183" s="50">
        <v>6.56</v>
      </c>
      <c r="M183" s="50">
        <v>6.73</v>
      </c>
      <c r="N183" s="50">
        <v>45</v>
      </c>
      <c r="O183" s="50">
        <v>13.9</v>
      </c>
      <c r="P183" s="50">
        <v>11</v>
      </c>
      <c r="Q183" s="50">
        <v>55.1</v>
      </c>
      <c r="R183" s="50">
        <v>36.1</v>
      </c>
      <c r="S183" s="50">
        <v>22.3</v>
      </c>
      <c r="T183" s="50">
        <v>49</v>
      </c>
      <c r="U183" s="50">
        <v>8.6300000000000008</v>
      </c>
      <c r="V183" s="50">
        <v>65.2</v>
      </c>
      <c r="W183" s="50">
        <v>47</v>
      </c>
      <c r="X183" s="50">
        <v>443</v>
      </c>
      <c r="Y183" s="50">
        <v>10.87</v>
      </c>
      <c r="Z183" s="50">
        <v>35</v>
      </c>
      <c r="AA183" s="50">
        <v>4.72</v>
      </c>
      <c r="AB183" s="50"/>
      <c r="AC183" s="50"/>
      <c r="AD183" s="50"/>
      <c r="AE183" s="50"/>
      <c r="AF183" s="50"/>
      <c r="AG183" s="50"/>
      <c r="AH183" s="50"/>
      <c r="AI183" s="50"/>
      <c r="AJ183" s="50"/>
    </row>
    <row r="184" spans="1:36" ht="15" customHeight="1" x14ac:dyDescent="0.25">
      <c r="A184" s="50">
        <v>37</v>
      </c>
      <c r="B184" s="50" t="s">
        <v>923</v>
      </c>
      <c r="C184" s="50" t="s">
        <v>1357</v>
      </c>
      <c r="D184" s="50">
        <v>37</v>
      </c>
      <c r="E184" s="50" t="s">
        <v>1353</v>
      </c>
      <c r="F184" s="50">
        <v>8</v>
      </c>
      <c r="G184" s="50">
        <v>5</v>
      </c>
      <c r="H184" s="50">
        <v>42</v>
      </c>
      <c r="I184" s="50">
        <v>2.56</v>
      </c>
      <c r="J184" s="50">
        <v>103</v>
      </c>
      <c r="K184" s="50">
        <v>89</v>
      </c>
      <c r="L184" s="50">
        <v>5.81</v>
      </c>
      <c r="M184" s="50">
        <v>5.81</v>
      </c>
      <c r="N184" s="50">
        <v>41</v>
      </c>
      <c r="O184" s="50">
        <v>11.9</v>
      </c>
      <c r="P184" s="50">
        <v>10.8</v>
      </c>
      <c r="Q184" s="50">
        <v>49</v>
      </c>
      <c r="R184" s="50">
        <v>38.9</v>
      </c>
      <c r="S184" s="50">
        <v>23.8</v>
      </c>
      <c r="T184" s="50">
        <v>53</v>
      </c>
      <c r="U184" s="50">
        <v>9.2799999999999994</v>
      </c>
      <c r="V184" s="50">
        <v>65.7</v>
      </c>
      <c r="W184" s="50">
        <v>55</v>
      </c>
      <c r="X184" s="50">
        <v>458</v>
      </c>
      <c r="Y184" s="50">
        <v>10.220000000000001</v>
      </c>
      <c r="Z184" s="50">
        <v>35.200000000000003</v>
      </c>
      <c r="AA184" s="50">
        <v>5.34</v>
      </c>
      <c r="AB184" s="50"/>
      <c r="AC184" s="50"/>
      <c r="AD184" s="50"/>
      <c r="AE184" s="50"/>
      <c r="AF184" s="50"/>
      <c r="AG184" s="50"/>
      <c r="AH184" s="50"/>
      <c r="AI184" s="50"/>
      <c r="AJ184" s="50"/>
    </row>
    <row r="185" spans="1:36" ht="15" customHeight="1" x14ac:dyDescent="0.25">
      <c r="A185" s="50">
        <v>37</v>
      </c>
      <c r="B185" s="50" t="s">
        <v>923</v>
      </c>
      <c r="C185" s="50" t="s">
        <v>1357</v>
      </c>
      <c r="D185" s="50">
        <v>37</v>
      </c>
      <c r="E185" s="50" t="s">
        <v>1353</v>
      </c>
      <c r="F185" s="50">
        <v>12</v>
      </c>
      <c r="G185" s="50">
        <v>4.8</v>
      </c>
      <c r="H185" s="50">
        <v>39</v>
      </c>
      <c r="I185" s="50">
        <v>2.5</v>
      </c>
      <c r="J185" s="50">
        <v>105</v>
      </c>
      <c r="K185" s="50">
        <v>83</v>
      </c>
      <c r="L185" s="50">
        <v>5.56</v>
      </c>
      <c r="M185" s="50">
        <v>5.79</v>
      </c>
      <c r="N185" s="50">
        <v>38</v>
      </c>
      <c r="O185" s="50">
        <v>12.6</v>
      </c>
      <c r="P185" s="50">
        <v>9.9</v>
      </c>
      <c r="Q185" s="50">
        <v>46.7</v>
      </c>
      <c r="R185" s="50">
        <v>43.9</v>
      </c>
      <c r="S185" s="50">
        <v>24.3</v>
      </c>
      <c r="T185" s="50">
        <v>49</v>
      </c>
      <c r="U185" s="50">
        <v>8.31</v>
      </c>
      <c r="V185" s="50">
        <v>66</v>
      </c>
      <c r="W185" s="50">
        <v>55</v>
      </c>
      <c r="X185" s="50">
        <v>462</v>
      </c>
      <c r="Y185" s="50">
        <v>10.39</v>
      </c>
      <c r="Z185" s="50">
        <v>35.299999999999997</v>
      </c>
      <c r="AA185" s="50">
        <v>5.26</v>
      </c>
      <c r="AB185" s="50"/>
      <c r="AC185" s="50"/>
      <c r="AD185" s="50"/>
      <c r="AE185" s="50"/>
      <c r="AF185" s="50"/>
      <c r="AG185" s="50"/>
      <c r="AH185" s="50"/>
      <c r="AI185" s="50"/>
      <c r="AJ185" s="50"/>
    </row>
    <row r="186" spans="1:36" ht="15" customHeight="1" x14ac:dyDescent="0.25">
      <c r="A186" s="50">
        <v>37</v>
      </c>
      <c r="B186" s="50" t="s">
        <v>923</v>
      </c>
      <c r="C186" s="50" t="s">
        <v>1357</v>
      </c>
      <c r="D186" s="50">
        <v>37</v>
      </c>
      <c r="E186" s="50" t="s">
        <v>1353</v>
      </c>
      <c r="F186" s="50">
        <v>21</v>
      </c>
      <c r="G186" s="50">
        <v>4.2</v>
      </c>
      <c r="H186" s="50">
        <v>33</v>
      </c>
      <c r="I186" s="50">
        <v>2.15</v>
      </c>
      <c r="J186" s="50">
        <v>113</v>
      </c>
      <c r="K186" s="50">
        <v>71</v>
      </c>
      <c r="L186" s="50">
        <v>4.7</v>
      </c>
      <c r="M186" s="50">
        <v>4.78</v>
      </c>
      <c r="N186" s="50">
        <v>37</v>
      </c>
      <c r="O186" s="50">
        <v>10.4</v>
      </c>
      <c r="P186" s="50">
        <v>10.5</v>
      </c>
      <c r="Q186" s="50">
        <v>42.8</v>
      </c>
      <c r="R186" s="50">
        <v>41.4</v>
      </c>
      <c r="S186" s="50">
        <v>25.5</v>
      </c>
      <c r="T186" s="50">
        <v>51</v>
      </c>
      <c r="U186" s="50">
        <v>8.68</v>
      </c>
      <c r="V186" s="50">
        <v>69.900000000000006</v>
      </c>
      <c r="W186" s="50">
        <v>59</v>
      </c>
      <c r="X186" s="50">
        <v>495</v>
      </c>
      <c r="Y186" s="50">
        <v>9.5</v>
      </c>
      <c r="Z186" s="50">
        <v>38.6</v>
      </c>
      <c r="AA186" s="50">
        <v>5.16</v>
      </c>
      <c r="AB186" s="50"/>
      <c r="AC186" s="50"/>
      <c r="AD186" s="50"/>
      <c r="AE186" s="50"/>
      <c r="AF186" s="50"/>
      <c r="AG186" s="50"/>
      <c r="AH186" s="50"/>
      <c r="AI186" s="50"/>
      <c r="AJ186" s="50"/>
    </row>
    <row r="187" spans="1:36" ht="15" customHeight="1" x14ac:dyDescent="0.25">
      <c r="A187" s="50">
        <v>38</v>
      </c>
      <c r="B187" s="50" t="s">
        <v>923</v>
      </c>
      <c r="C187" s="50" t="s">
        <v>1352</v>
      </c>
      <c r="D187" s="50">
        <v>28</v>
      </c>
      <c r="E187" s="50" t="s">
        <v>1353</v>
      </c>
      <c r="F187" s="50">
        <v>0</v>
      </c>
      <c r="G187" s="50">
        <v>6.2</v>
      </c>
      <c r="H187" s="50">
        <v>49</v>
      </c>
      <c r="I187" s="50">
        <v>4.1399999999999997</v>
      </c>
      <c r="J187" s="50">
        <v>102</v>
      </c>
      <c r="K187" s="50">
        <v>100</v>
      </c>
      <c r="L187" s="50">
        <v>5.53</v>
      </c>
      <c r="M187" s="50">
        <v>5.36</v>
      </c>
      <c r="N187" s="50">
        <v>32</v>
      </c>
      <c r="O187" s="50">
        <v>13.5</v>
      </c>
      <c r="P187" s="50">
        <v>13.9</v>
      </c>
      <c r="Q187" s="50">
        <v>46.3</v>
      </c>
      <c r="R187" s="50">
        <v>35.1</v>
      </c>
      <c r="S187" s="50">
        <v>16.100000000000001</v>
      </c>
      <c r="T187" s="50">
        <v>37</v>
      </c>
      <c r="U187" s="50">
        <v>7.13</v>
      </c>
      <c r="V187" s="50">
        <v>56.8</v>
      </c>
      <c r="W187" s="50">
        <v>44</v>
      </c>
      <c r="X187" s="50">
        <v>330</v>
      </c>
      <c r="Y187" s="50">
        <v>9.26</v>
      </c>
      <c r="Z187" s="50">
        <v>37.799999999999997</v>
      </c>
      <c r="AA187" s="50">
        <v>5.94</v>
      </c>
      <c r="AB187" s="50"/>
      <c r="AC187" s="50"/>
      <c r="AD187" s="50"/>
      <c r="AE187" s="50"/>
      <c r="AF187" s="50"/>
      <c r="AG187" s="50"/>
      <c r="AH187" s="50"/>
      <c r="AI187" s="50"/>
      <c r="AJ187" s="50"/>
    </row>
    <row r="188" spans="1:36" ht="15" customHeight="1" x14ac:dyDescent="0.25">
      <c r="A188" s="50">
        <v>38</v>
      </c>
      <c r="B188" s="50" t="s">
        <v>923</v>
      </c>
      <c r="C188" s="50" t="s">
        <v>1352</v>
      </c>
      <c r="D188" s="50">
        <v>28</v>
      </c>
      <c r="E188" s="50" t="s">
        <v>1353</v>
      </c>
      <c r="F188" s="50">
        <v>4</v>
      </c>
      <c r="G188" s="50">
        <v>5.8</v>
      </c>
      <c r="H188" s="50">
        <v>47</v>
      </c>
      <c r="I188" s="50">
        <v>3.88</v>
      </c>
      <c r="J188" s="50">
        <v>107</v>
      </c>
      <c r="K188" s="50">
        <v>94</v>
      </c>
      <c r="L188" s="50">
        <v>4.93</v>
      </c>
      <c r="M188" s="50">
        <v>5.2</v>
      </c>
      <c r="N188" s="50">
        <v>32</v>
      </c>
      <c r="O188" s="50">
        <v>14</v>
      </c>
      <c r="P188" s="50">
        <v>14.9</v>
      </c>
      <c r="Q188" s="50">
        <v>47.3</v>
      </c>
      <c r="R188" s="50">
        <v>37.799999999999997</v>
      </c>
      <c r="S188" s="50">
        <v>15.4</v>
      </c>
      <c r="T188" s="50">
        <v>43</v>
      </c>
      <c r="U188" s="50">
        <v>8.08</v>
      </c>
      <c r="V188" s="50">
        <v>57.5</v>
      </c>
      <c r="W188" s="50">
        <v>49</v>
      </c>
      <c r="X188" s="50">
        <v>335</v>
      </c>
      <c r="Y188" s="50">
        <v>9.44</v>
      </c>
      <c r="Z188" s="50">
        <v>37.1</v>
      </c>
      <c r="AA188" s="50">
        <v>5.96</v>
      </c>
      <c r="AB188" s="50"/>
      <c r="AC188" s="50"/>
      <c r="AD188" s="50"/>
      <c r="AE188" s="50"/>
      <c r="AF188" s="50"/>
      <c r="AG188" s="50"/>
      <c r="AH188" s="50"/>
      <c r="AI188" s="50"/>
      <c r="AJ188" s="50"/>
    </row>
    <row r="189" spans="1:36" ht="15" customHeight="1" x14ac:dyDescent="0.25">
      <c r="A189" s="50">
        <v>38</v>
      </c>
      <c r="B189" s="50" t="s">
        <v>923</v>
      </c>
      <c r="C189" s="50" t="s">
        <v>1352</v>
      </c>
      <c r="D189" s="50">
        <v>28</v>
      </c>
      <c r="E189" s="50" t="s">
        <v>1353</v>
      </c>
      <c r="F189" s="50">
        <v>8</v>
      </c>
      <c r="G189" s="50">
        <v>5.3</v>
      </c>
      <c r="H189" s="50">
        <v>45</v>
      </c>
      <c r="I189" s="50">
        <v>3.68</v>
      </c>
      <c r="J189" s="50">
        <v>111</v>
      </c>
      <c r="K189" s="50">
        <v>89</v>
      </c>
      <c r="L189" s="50">
        <v>4.5599999999999996</v>
      </c>
      <c r="M189" s="50">
        <v>4.54</v>
      </c>
      <c r="N189" s="50">
        <v>32</v>
      </c>
      <c r="O189" s="50">
        <v>13.6</v>
      </c>
      <c r="P189" s="50">
        <v>13.2</v>
      </c>
      <c r="Q189" s="50">
        <v>42</v>
      </c>
      <c r="R189" s="50">
        <v>40.1</v>
      </c>
      <c r="S189" s="50">
        <v>19.899999999999999</v>
      </c>
      <c r="T189" s="50">
        <v>45</v>
      </c>
      <c r="U189" s="50">
        <v>7.28</v>
      </c>
      <c r="V189" s="50">
        <v>57.7</v>
      </c>
      <c r="W189" s="50">
        <v>51</v>
      </c>
      <c r="X189" s="50">
        <v>340</v>
      </c>
      <c r="Y189" s="50">
        <v>9.34</v>
      </c>
      <c r="Z189" s="50">
        <v>40.700000000000003</v>
      </c>
      <c r="AA189" s="50">
        <v>6.3</v>
      </c>
      <c r="AB189" s="50"/>
      <c r="AC189" s="50"/>
      <c r="AD189" s="50"/>
      <c r="AE189" s="50"/>
      <c r="AF189" s="50"/>
      <c r="AG189" s="50"/>
      <c r="AH189" s="50"/>
      <c r="AI189" s="50"/>
      <c r="AJ189" s="50"/>
    </row>
    <row r="190" spans="1:36" ht="15" customHeight="1" x14ac:dyDescent="0.25">
      <c r="A190" s="50">
        <v>38</v>
      </c>
      <c r="B190" s="50" t="s">
        <v>923</v>
      </c>
      <c r="C190" s="50" t="s">
        <v>1352</v>
      </c>
      <c r="D190" s="50">
        <v>28</v>
      </c>
      <c r="E190" s="50" t="s">
        <v>1353</v>
      </c>
      <c r="F190" s="50">
        <v>12</v>
      </c>
      <c r="G190" s="50">
        <v>5</v>
      </c>
      <c r="H190" s="50">
        <v>43</v>
      </c>
      <c r="I190" s="50">
        <v>3.5</v>
      </c>
      <c r="J190" s="50">
        <v>111</v>
      </c>
      <c r="K190" s="50">
        <v>83</v>
      </c>
      <c r="L190" s="50">
        <v>4.4400000000000004</v>
      </c>
      <c r="M190" s="50">
        <v>4.3499999999999996</v>
      </c>
      <c r="N190" s="50">
        <v>29</v>
      </c>
      <c r="O190" s="50">
        <v>12.5</v>
      </c>
      <c r="P190" s="50">
        <v>13.8</v>
      </c>
      <c r="Q190" s="50">
        <v>41.2</v>
      </c>
      <c r="R190" s="50">
        <v>40.200000000000003</v>
      </c>
      <c r="S190" s="50">
        <v>21.3</v>
      </c>
      <c r="T190" s="50">
        <v>47</v>
      </c>
      <c r="U190" s="50">
        <v>6.47</v>
      </c>
      <c r="V190" s="50">
        <v>59.2</v>
      </c>
      <c r="W190" s="50">
        <v>53</v>
      </c>
      <c r="X190" s="50">
        <v>357</v>
      </c>
      <c r="Y190" s="50">
        <v>8.91</v>
      </c>
      <c r="Z190" s="50">
        <v>37.799999999999997</v>
      </c>
      <c r="AA190" s="50">
        <v>6.1</v>
      </c>
      <c r="AB190" s="50"/>
      <c r="AC190" s="50"/>
      <c r="AD190" s="50"/>
      <c r="AE190" s="50"/>
      <c r="AF190" s="50"/>
      <c r="AG190" s="50"/>
      <c r="AH190" s="50"/>
      <c r="AI190" s="50"/>
      <c r="AJ190" s="50"/>
    </row>
    <row r="191" spans="1:36" ht="15" customHeight="1" x14ac:dyDescent="0.25">
      <c r="A191" s="50">
        <v>38</v>
      </c>
      <c r="B191" s="50" t="s">
        <v>923</v>
      </c>
      <c r="C191" s="50" t="s">
        <v>1352</v>
      </c>
      <c r="D191" s="50">
        <v>28</v>
      </c>
      <c r="E191" s="50" t="s">
        <v>1353</v>
      </c>
      <c r="F191" s="50">
        <v>21</v>
      </c>
      <c r="G191" s="50">
        <v>4.5</v>
      </c>
      <c r="H191" s="50">
        <v>38</v>
      </c>
      <c r="I191" s="50">
        <v>3.1</v>
      </c>
      <c r="J191" s="50">
        <v>116</v>
      </c>
      <c r="K191" s="50">
        <v>71</v>
      </c>
      <c r="L191" s="50">
        <v>4.05</v>
      </c>
      <c r="M191" s="50">
        <v>3.96</v>
      </c>
      <c r="N191" s="50">
        <v>32</v>
      </c>
      <c r="O191" s="50">
        <v>11</v>
      </c>
      <c r="P191" s="50">
        <v>12.8</v>
      </c>
      <c r="Q191" s="50">
        <v>39</v>
      </c>
      <c r="R191" s="50">
        <v>42.8</v>
      </c>
      <c r="S191" s="50">
        <v>24.2</v>
      </c>
      <c r="T191" s="50">
        <v>54</v>
      </c>
      <c r="U191" s="50">
        <v>6.65</v>
      </c>
      <c r="V191" s="50">
        <v>60.1</v>
      </c>
      <c r="W191" s="50">
        <v>58</v>
      </c>
      <c r="X191" s="50">
        <v>389</v>
      </c>
      <c r="Y191" s="50">
        <v>8.77</v>
      </c>
      <c r="Z191" s="50">
        <v>41.8</v>
      </c>
      <c r="AA191" s="50">
        <v>6.29</v>
      </c>
      <c r="AB191" s="50"/>
      <c r="AC191" s="50"/>
      <c r="AD191" s="50"/>
      <c r="AE191" s="50"/>
      <c r="AF191" s="50"/>
      <c r="AG191" s="50"/>
      <c r="AH191" s="50"/>
      <c r="AI191" s="50"/>
      <c r="AJ191" s="50"/>
    </row>
    <row r="192" spans="1:36" ht="15" customHeight="1" x14ac:dyDescent="0.25">
      <c r="A192" s="50">
        <v>39</v>
      </c>
      <c r="B192" s="50" t="s">
        <v>923</v>
      </c>
      <c r="C192" s="50" t="s">
        <v>1357</v>
      </c>
      <c r="D192" s="50">
        <v>30</v>
      </c>
      <c r="E192" s="50" t="s">
        <v>1359</v>
      </c>
      <c r="F192" s="50">
        <v>0</v>
      </c>
      <c r="G192" s="50">
        <v>6.8</v>
      </c>
      <c r="H192" s="50">
        <v>46</v>
      </c>
      <c r="I192" s="50">
        <v>2.98</v>
      </c>
      <c r="J192" s="50">
        <v>98</v>
      </c>
      <c r="K192" s="50">
        <v>100</v>
      </c>
      <c r="L192" s="50">
        <v>7.52</v>
      </c>
      <c r="M192" s="50">
        <v>6.61</v>
      </c>
      <c r="N192" s="50">
        <v>45</v>
      </c>
      <c r="O192" s="50">
        <v>13.2</v>
      </c>
      <c r="P192" s="50">
        <v>11.9</v>
      </c>
      <c r="Q192" s="50">
        <v>46.2</v>
      </c>
      <c r="R192" s="50">
        <v>35.6</v>
      </c>
      <c r="S192" s="50">
        <v>18.7</v>
      </c>
      <c r="T192" s="50">
        <v>41</v>
      </c>
      <c r="U192" s="50">
        <v>7.68</v>
      </c>
      <c r="V192" s="50">
        <v>62.7</v>
      </c>
      <c r="W192" s="50">
        <v>57</v>
      </c>
      <c r="X192" s="50">
        <v>374</v>
      </c>
      <c r="Y192" s="50">
        <v>17.510000000000002</v>
      </c>
      <c r="Z192" s="50">
        <v>29.2</v>
      </c>
      <c r="AA192" s="50">
        <v>5.27</v>
      </c>
      <c r="AB192" s="50"/>
      <c r="AC192" s="50"/>
      <c r="AD192" s="50"/>
      <c r="AE192" s="50"/>
      <c r="AF192" s="50"/>
      <c r="AG192" s="50"/>
      <c r="AH192" s="50"/>
      <c r="AI192" s="50"/>
      <c r="AJ192" s="50"/>
    </row>
    <row r="193" spans="1:36" ht="15" customHeight="1" x14ac:dyDescent="0.25">
      <c r="A193" s="50">
        <v>39</v>
      </c>
      <c r="B193" s="50" t="s">
        <v>923</v>
      </c>
      <c r="C193" s="50" t="s">
        <v>1357</v>
      </c>
      <c r="D193" s="50">
        <v>30</v>
      </c>
      <c r="E193" s="50" t="s">
        <v>1359</v>
      </c>
      <c r="F193" s="50">
        <v>4</v>
      </c>
      <c r="G193" s="50">
        <v>6.3</v>
      </c>
      <c r="H193" s="50">
        <v>44</v>
      </c>
      <c r="I193" s="50">
        <v>2.94</v>
      </c>
      <c r="J193" s="50">
        <v>102</v>
      </c>
      <c r="K193" s="50">
        <v>94</v>
      </c>
      <c r="L193" s="50">
        <v>6.93</v>
      </c>
      <c r="M193" s="50">
        <v>6.2</v>
      </c>
      <c r="N193" s="50">
        <v>42</v>
      </c>
      <c r="O193" s="50">
        <v>12.4</v>
      </c>
      <c r="P193" s="50">
        <v>10.7</v>
      </c>
      <c r="Q193" s="50">
        <v>45.5</v>
      </c>
      <c r="R193" s="50">
        <v>41.3</v>
      </c>
      <c r="S193" s="50">
        <v>18.8</v>
      </c>
      <c r="T193" s="50">
        <v>43</v>
      </c>
      <c r="U193" s="50">
        <v>6.79</v>
      </c>
      <c r="V193" s="50">
        <v>61.3</v>
      </c>
      <c r="W193" s="50">
        <v>59</v>
      </c>
      <c r="X193" s="50">
        <v>377</v>
      </c>
      <c r="Y193" s="50">
        <v>16.440000000000001</v>
      </c>
      <c r="Z193" s="50">
        <v>31.1</v>
      </c>
      <c r="AA193" s="50">
        <v>5.36</v>
      </c>
      <c r="AB193" s="50"/>
      <c r="AC193" s="50"/>
      <c r="AD193" s="50"/>
      <c r="AE193" s="50"/>
      <c r="AF193" s="50"/>
      <c r="AG193" s="50"/>
      <c r="AH193" s="50"/>
      <c r="AI193" s="50"/>
      <c r="AJ193" s="50"/>
    </row>
    <row r="194" spans="1:36" ht="15" customHeight="1" x14ac:dyDescent="0.25">
      <c r="A194" s="50">
        <v>39</v>
      </c>
      <c r="B194" s="50" t="s">
        <v>923</v>
      </c>
      <c r="C194" s="50" t="s">
        <v>1357</v>
      </c>
      <c r="D194" s="50">
        <v>30</v>
      </c>
      <c r="E194" s="50" t="s">
        <v>1359</v>
      </c>
      <c r="F194" s="50">
        <v>8</v>
      </c>
      <c r="G194" s="50">
        <v>5.8</v>
      </c>
      <c r="H194" s="50">
        <v>43</v>
      </c>
      <c r="I194" s="50">
        <v>2.75</v>
      </c>
      <c r="J194" s="50">
        <v>107</v>
      </c>
      <c r="K194" s="50">
        <v>89</v>
      </c>
      <c r="L194" s="50">
        <v>6.45</v>
      </c>
      <c r="M194" s="50">
        <v>5.75</v>
      </c>
      <c r="N194" s="50">
        <v>41</v>
      </c>
      <c r="O194" s="50">
        <v>12.5</v>
      </c>
      <c r="P194" s="50">
        <v>11.8</v>
      </c>
      <c r="Q194" s="50">
        <v>43.9</v>
      </c>
      <c r="R194" s="50">
        <v>41.9</v>
      </c>
      <c r="S194" s="50">
        <v>22.8</v>
      </c>
      <c r="T194" s="50">
        <v>45</v>
      </c>
      <c r="U194" s="50">
        <v>7.07</v>
      </c>
      <c r="V194" s="50">
        <v>63.2</v>
      </c>
      <c r="W194" s="50">
        <v>61</v>
      </c>
      <c r="X194" s="50">
        <v>402</v>
      </c>
      <c r="Y194" s="50">
        <v>16.399999999999999</v>
      </c>
      <c r="Z194" s="50">
        <v>31.1</v>
      </c>
      <c r="AA194" s="50">
        <v>5.9</v>
      </c>
      <c r="AB194" s="50"/>
      <c r="AC194" s="50"/>
      <c r="AD194" s="50"/>
      <c r="AE194" s="50"/>
      <c r="AF194" s="50"/>
      <c r="AG194" s="50"/>
      <c r="AH194" s="50"/>
      <c r="AI194" s="50"/>
      <c r="AJ194" s="50"/>
    </row>
    <row r="195" spans="1:36" ht="15" customHeight="1" x14ac:dyDescent="0.25">
      <c r="A195" s="50">
        <v>39</v>
      </c>
      <c r="B195" s="50" t="s">
        <v>923</v>
      </c>
      <c r="C195" s="50" t="s">
        <v>1357</v>
      </c>
      <c r="D195" s="50">
        <v>30</v>
      </c>
      <c r="E195" s="50" t="s">
        <v>1359</v>
      </c>
      <c r="F195" s="50">
        <v>12</v>
      </c>
      <c r="G195" s="50">
        <v>5.7</v>
      </c>
      <c r="H195" s="50">
        <v>39</v>
      </c>
      <c r="I195" s="50">
        <v>2.63</v>
      </c>
      <c r="J195" s="50">
        <v>109</v>
      </c>
      <c r="K195" s="50">
        <v>83</v>
      </c>
      <c r="L195" s="50">
        <v>6.49</v>
      </c>
      <c r="M195" s="50">
        <v>5.65</v>
      </c>
      <c r="N195" s="50">
        <v>42</v>
      </c>
      <c r="O195" s="50">
        <v>12.6</v>
      </c>
      <c r="P195" s="50">
        <v>11.8</v>
      </c>
      <c r="Q195" s="50">
        <v>39.200000000000003</v>
      </c>
      <c r="R195" s="50">
        <v>42.5</v>
      </c>
      <c r="S195" s="50">
        <v>21.8</v>
      </c>
      <c r="T195" s="50">
        <v>49</v>
      </c>
      <c r="U195" s="50">
        <v>7.04</v>
      </c>
      <c r="V195" s="50">
        <v>63.7</v>
      </c>
      <c r="W195" s="50">
        <v>61</v>
      </c>
      <c r="X195" s="50">
        <v>409</v>
      </c>
      <c r="Y195" s="50">
        <v>16.18</v>
      </c>
      <c r="Z195" s="50">
        <v>31.8</v>
      </c>
      <c r="AA195" s="50">
        <v>5.75</v>
      </c>
      <c r="AB195" s="50"/>
      <c r="AC195" s="50"/>
      <c r="AD195" s="50"/>
      <c r="AE195" s="50"/>
      <c r="AF195" s="50"/>
      <c r="AG195" s="50"/>
      <c r="AH195" s="50"/>
      <c r="AI195" s="50"/>
      <c r="AJ195" s="50"/>
    </row>
    <row r="196" spans="1:36" ht="15" customHeight="1" x14ac:dyDescent="0.25">
      <c r="A196" s="50">
        <v>39</v>
      </c>
      <c r="B196" s="50" t="s">
        <v>923</v>
      </c>
      <c r="C196" s="50" t="s">
        <v>1357</v>
      </c>
      <c r="D196" s="50">
        <v>30</v>
      </c>
      <c r="E196" s="50" t="s">
        <v>1359</v>
      </c>
      <c r="F196" s="50">
        <v>21</v>
      </c>
      <c r="G196" s="50">
        <v>4.5</v>
      </c>
      <c r="H196" s="50">
        <v>36</v>
      </c>
      <c r="I196" s="50">
        <v>2.37</v>
      </c>
      <c r="J196" s="50">
        <v>113</v>
      </c>
      <c r="K196" s="50">
        <v>71</v>
      </c>
      <c r="L196" s="50">
        <v>4.8600000000000003</v>
      </c>
      <c r="M196" s="50">
        <v>5.17</v>
      </c>
      <c r="N196" s="50">
        <v>36</v>
      </c>
      <c r="O196" s="50">
        <v>12.1</v>
      </c>
      <c r="P196" s="50">
        <v>10</v>
      </c>
      <c r="Q196" s="50">
        <v>36.1</v>
      </c>
      <c r="R196" s="50">
        <v>46.1</v>
      </c>
      <c r="S196" s="50">
        <v>28.6</v>
      </c>
      <c r="T196" s="50">
        <v>55</v>
      </c>
      <c r="U196" s="50">
        <v>6.46</v>
      </c>
      <c r="V196" s="50">
        <v>64.599999999999994</v>
      </c>
      <c r="W196" s="50">
        <v>65</v>
      </c>
      <c r="X196" s="50">
        <v>432</v>
      </c>
      <c r="Y196" s="50">
        <v>14.67</v>
      </c>
      <c r="Z196" s="50">
        <v>35.4</v>
      </c>
      <c r="AA196" s="50">
        <v>6.18</v>
      </c>
      <c r="AB196" s="50"/>
      <c r="AC196" s="50"/>
      <c r="AD196" s="50"/>
      <c r="AE196" s="50"/>
      <c r="AF196" s="50"/>
      <c r="AG196" s="50"/>
      <c r="AH196" s="50"/>
      <c r="AI196" s="50"/>
      <c r="AJ196" s="50"/>
    </row>
    <row r="197" spans="1:36" ht="15" customHeight="1" x14ac:dyDescent="0.25">
      <c r="A197" s="50">
        <v>40</v>
      </c>
      <c r="B197" s="50" t="s">
        <v>923</v>
      </c>
      <c r="C197" s="50" t="s">
        <v>1352</v>
      </c>
      <c r="D197" s="50">
        <v>56</v>
      </c>
      <c r="E197" s="50" t="s">
        <v>1355</v>
      </c>
      <c r="F197" s="50">
        <v>0</v>
      </c>
      <c r="G197" s="50">
        <v>7.8</v>
      </c>
      <c r="H197" s="50">
        <v>40</v>
      </c>
      <c r="I197" s="50">
        <v>4.3499999999999996</v>
      </c>
      <c r="J197" s="50">
        <v>101</v>
      </c>
      <c r="K197" s="50">
        <v>100</v>
      </c>
      <c r="L197" s="50">
        <v>6.11</v>
      </c>
      <c r="M197" s="50">
        <v>6.31</v>
      </c>
      <c r="N197" s="50">
        <v>50</v>
      </c>
      <c r="O197" s="50">
        <v>12.8</v>
      </c>
      <c r="P197" s="50">
        <v>11.1</v>
      </c>
      <c r="Q197" s="50">
        <v>40.1</v>
      </c>
      <c r="R197" s="50">
        <v>42.2</v>
      </c>
      <c r="S197" s="50">
        <v>25.5</v>
      </c>
      <c r="T197" s="50">
        <v>23</v>
      </c>
      <c r="U197" s="50">
        <v>9.27</v>
      </c>
      <c r="V197" s="50">
        <v>60.5</v>
      </c>
      <c r="W197" s="50">
        <v>42</v>
      </c>
      <c r="X197" s="50">
        <v>266</v>
      </c>
      <c r="Y197" s="50">
        <v>14.78</v>
      </c>
      <c r="Z197" s="50">
        <v>23.4</v>
      </c>
      <c r="AA197" s="50">
        <v>5.69</v>
      </c>
      <c r="AB197" s="50"/>
      <c r="AC197" s="50"/>
      <c r="AD197" s="50"/>
      <c r="AE197" s="50"/>
      <c r="AF197" s="50"/>
      <c r="AG197" s="50"/>
      <c r="AH197" s="50"/>
      <c r="AI197" s="50"/>
      <c r="AJ197" s="50"/>
    </row>
    <row r="198" spans="1:36" ht="15" customHeight="1" x14ac:dyDescent="0.25">
      <c r="A198" s="50">
        <v>40</v>
      </c>
      <c r="B198" s="50" t="s">
        <v>923</v>
      </c>
      <c r="C198" s="50" t="s">
        <v>1352</v>
      </c>
      <c r="D198" s="50">
        <v>56</v>
      </c>
      <c r="E198" s="50" t="s">
        <v>1355</v>
      </c>
      <c r="F198" s="50">
        <v>4</v>
      </c>
      <c r="G198" s="50">
        <v>7.4</v>
      </c>
      <c r="H198" s="50">
        <v>37</v>
      </c>
      <c r="I198" s="50">
        <v>4.1500000000000004</v>
      </c>
      <c r="J198" s="50">
        <v>107</v>
      </c>
      <c r="K198" s="50">
        <v>94</v>
      </c>
      <c r="L198" s="50">
        <v>5.85</v>
      </c>
      <c r="M198" s="50">
        <v>6.13</v>
      </c>
      <c r="N198" s="50">
        <v>49</v>
      </c>
      <c r="O198" s="50">
        <v>13.1</v>
      </c>
      <c r="P198" s="50">
        <v>10.7</v>
      </c>
      <c r="Q198" s="50">
        <v>38</v>
      </c>
      <c r="R198" s="50">
        <v>42</v>
      </c>
      <c r="S198" s="50">
        <v>26.1</v>
      </c>
      <c r="T198" s="50">
        <v>26</v>
      </c>
      <c r="U198" s="50">
        <v>8.73</v>
      </c>
      <c r="V198" s="50">
        <v>60.1</v>
      </c>
      <c r="W198" s="50">
        <v>43</v>
      </c>
      <c r="X198" s="50">
        <v>294</v>
      </c>
      <c r="Y198" s="50">
        <v>14.95</v>
      </c>
      <c r="Z198" s="50">
        <v>24.8</v>
      </c>
      <c r="AA198" s="50">
        <v>5.5</v>
      </c>
      <c r="AB198" s="50"/>
      <c r="AC198" s="50"/>
      <c r="AD198" s="50"/>
      <c r="AE198" s="50"/>
      <c r="AF198" s="50"/>
      <c r="AG198" s="50"/>
      <c r="AH198" s="50"/>
      <c r="AI198" s="50"/>
      <c r="AJ198" s="50"/>
    </row>
    <row r="199" spans="1:36" ht="15" customHeight="1" x14ac:dyDescent="0.25">
      <c r="A199" s="50">
        <v>40</v>
      </c>
      <c r="B199" s="50" t="s">
        <v>923</v>
      </c>
      <c r="C199" s="50" t="s">
        <v>1352</v>
      </c>
      <c r="D199" s="50">
        <v>56</v>
      </c>
      <c r="E199" s="50" t="s">
        <v>1355</v>
      </c>
      <c r="F199" s="50">
        <v>8</v>
      </c>
      <c r="G199" s="50">
        <v>7.1</v>
      </c>
      <c r="H199" s="50">
        <v>36</v>
      </c>
      <c r="I199" s="50">
        <v>3.94</v>
      </c>
      <c r="J199" s="50">
        <v>106</v>
      </c>
      <c r="K199" s="50">
        <v>89</v>
      </c>
      <c r="L199" s="50">
        <v>5.71</v>
      </c>
      <c r="M199" s="50">
        <v>5.79</v>
      </c>
      <c r="N199" s="50">
        <v>48</v>
      </c>
      <c r="O199" s="50">
        <v>12</v>
      </c>
      <c r="P199" s="50">
        <v>10.1</v>
      </c>
      <c r="Q199" s="50">
        <v>38</v>
      </c>
      <c r="R199" s="50">
        <v>45.7</v>
      </c>
      <c r="S199" s="50">
        <v>26.7</v>
      </c>
      <c r="T199" s="50">
        <v>26</v>
      </c>
      <c r="U199" s="50">
        <v>8.76</v>
      </c>
      <c r="V199" s="50">
        <v>61.3</v>
      </c>
      <c r="W199" s="50">
        <v>47</v>
      </c>
      <c r="X199" s="50">
        <v>304</v>
      </c>
      <c r="Y199" s="50">
        <v>15.07</v>
      </c>
      <c r="Z199" s="50">
        <v>24.3</v>
      </c>
      <c r="AA199" s="50">
        <v>5.62</v>
      </c>
      <c r="AB199" s="50"/>
      <c r="AC199" s="50"/>
      <c r="AD199" s="50"/>
      <c r="AE199" s="50"/>
      <c r="AF199" s="50"/>
      <c r="AG199" s="50"/>
      <c r="AH199" s="50"/>
      <c r="AI199" s="50"/>
      <c r="AJ199" s="50"/>
    </row>
    <row r="200" spans="1:36" ht="15" customHeight="1" x14ac:dyDescent="0.25">
      <c r="A200" s="50">
        <v>40</v>
      </c>
      <c r="B200" s="50" t="s">
        <v>923</v>
      </c>
      <c r="C200" s="50" t="s">
        <v>1352</v>
      </c>
      <c r="D200" s="50">
        <v>56</v>
      </c>
      <c r="E200" s="50" t="s">
        <v>1355</v>
      </c>
      <c r="F200" s="50">
        <v>12</v>
      </c>
      <c r="G200" s="50">
        <v>6.4</v>
      </c>
      <c r="H200" s="50">
        <v>33</v>
      </c>
      <c r="I200" s="50">
        <v>3.71</v>
      </c>
      <c r="J200" s="50">
        <v>105</v>
      </c>
      <c r="K200" s="50">
        <v>83</v>
      </c>
      <c r="L200" s="50">
        <v>5.38</v>
      </c>
      <c r="M200" s="50">
        <v>5.65</v>
      </c>
      <c r="N200" s="50">
        <v>45</v>
      </c>
      <c r="O200" s="50">
        <v>12.3</v>
      </c>
      <c r="P200" s="50">
        <v>9</v>
      </c>
      <c r="Q200" s="50">
        <v>37</v>
      </c>
      <c r="R200" s="50">
        <v>46.9</v>
      </c>
      <c r="S200" s="50">
        <v>28</v>
      </c>
      <c r="T200" s="50">
        <v>31</v>
      </c>
      <c r="U200" s="50">
        <v>7.19</v>
      </c>
      <c r="V200" s="50">
        <v>61.8</v>
      </c>
      <c r="W200" s="50">
        <v>49</v>
      </c>
      <c r="X200" s="50">
        <v>315</v>
      </c>
      <c r="Y200" s="50">
        <v>13.45</v>
      </c>
      <c r="Z200" s="50">
        <v>25.7</v>
      </c>
      <c r="AA200" s="50">
        <v>6.24</v>
      </c>
      <c r="AB200" s="50"/>
      <c r="AC200" s="50"/>
      <c r="AD200" s="50"/>
      <c r="AE200" s="50"/>
      <c r="AF200" s="50"/>
      <c r="AG200" s="50"/>
      <c r="AH200" s="50"/>
      <c r="AI200" s="50"/>
      <c r="AJ200" s="50"/>
    </row>
    <row r="201" spans="1:36" ht="15" customHeight="1" x14ac:dyDescent="0.25">
      <c r="A201" s="50">
        <v>40</v>
      </c>
      <c r="B201" s="50" t="s">
        <v>923</v>
      </c>
      <c r="C201" s="50" t="s">
        <v>1352</v>
      </c>
      <c r="D201" s="50">
        <v>56</v>
      </c>
      <c r="E201" s="50" t="s">
        <v>1355</v>
      </c>
      <c r="F201" s="50">
        <v>21</v>
      </c>
      <c r="G201" s="50">
        <v>5.0999999999999996</v>
      </c>
      <c r="H201" s="50">
        <v>30</v>
      </c>
      <c r="I201" s="50">
        <v>3.21</v>
      </c>
      <c r="J201" s="50">
        <v>117</v>
      </c>
      <c r="K201" s="50">
        <v>71</v>
      </c>
      <c r="L201" s="50">
        <v>4.46</v>
      </c>
      <c r="M201" s="50">
        <v>4.8899999999999997</v>
      </c>
      <c r="N201" s="50">
        <v>40</v>
      </c>
      <c r="O201" s="50">
        <v>10.9</v>
      </c>
      <c r="P201" s="50">
        <v>8.4</v>
      </c>
      <c r="Q201" s="50">
        <v>31.7</v>
      </c>
      <c r="R201" s="50">
        <v>53</v>
      </c>
      <c r="S201" s="50">
        <v>33</v>
      </c>
      <c r="T201" s="50">
        <v>43</v>
      </c>
      <c r="U201" s="50">
        <v>8.41</v>
      </c>
      <c r="V201" s="50">
        <v>63</v>
      </c>
      <c r="W201" s="50">
        <v>54</v>
      </c>
      <c r="X201" s="50">
        <v>334</v>
      </c>
      <c r="Y201" s="50">
        <v>12.6</v>
      </c>
      <c r="Z201" s="50">
        <v>28.8</v>
      </c>
      <c r="AA201" s="50">
        <v>6.35</v>
      </c>
      <c r="AB201" s="50"/>
      <c r="AC201" s="50"/>
      <c r="AD201" s="50"/>
      <c r="AE201" s="50"/>
      <c r="AF201" s="50"/>
      <c r="AG201" s="50"/>
      <c r="AH201" s="50"/>
      <c r="AI201" s="50"/>
      <c r="AJ201" s="50"/>
    </row>
    <row r="202" spans="1:36" ht="15" customHeight="1" x14ac:dyDescent="0.25">
      <c r="A202" s="50">
        <v>41</v>
      </c>
      <c r="B202" s="50" t="s">
        <v>923</v>
      </c>
      <c r="C202" s="50" t="s">
        <v>1352</v>
      </c>
      <c r="D202" s="50">
        <v>24</v>
      </c>
      <c r="E202" s="50" t="s">
        <v>1359</v>
      </c>
      <c r="F202" s="50">
        <v>0</v>
      </c>
      <c r="G202" s="50">
        <v>8</v>
      </c>
      <c r="H202" s="50">
        <v>58</v>
      </c>
      <c r="I202" s="50">
        <v>2.66</v>
      </c>
      <c r="J202" s="50">
        <v>113</v>
      </c>
      <c r="K202" s="50">
        <v>100</v>
      </c>
      <c r="L202" s="50">
        <v>5.94</v>
      </c>
      <c r="M202" s="50">
        <v>6.08</v>
      </c>
      <c r="N202" s="50">
        <v>54</v>
      </c>
      <c r="O202" s="50">
        <v>9.8000000000000007</v>
      </c>
      <c r="P202" s="50">
        <v>11.5</v>
      </c>
      <c r="Q202" s="50">
        <v>47.1</v>
      </c>
      <c r="R202" s="50">
        <v>28</v>
      </c>
      <c r="S202" s="50">
        <v>22.3</v>
      </c>
      <c r="T202" s="50">
        <v>43</v>
      </c>
      <c r="U202" s="50">
        <v>8.8800000000000008</v>
      </c>
      <c r="V202" s="50">
        <v>55.4</v>
      </c>
      <c r="W202" s="50">
        <v>32</v>
      </c>
      <c r="X202" s="50">
        <v>374</v>
      </c>
      <c r="Y202" s="50">
        <v>11.04</v>
      </c>
      <c r="Z202" s="50">
        <v>28</v>
      </c>
      <c r="AA202" s="50">
        <v>4.76</v>
      </c>
      <c r="AB202" s="50"/>
      <c r="AC202" s="50"/>
      <c r="AD202" s="50"/>
      <c r="AE202" s="50"/>
      <c r="AF202" s="50"/>
      <c r="AG202" s="50"/>
      <c r="AH202" s="50"/>
      <c r="AI202" s="50"/>
      <c r="AJ202" s="50"/>
    </row>
    <row r="203" spans="1:36" ht="15" customHeight="1" x14ac:dyDescent="0.25">
      <c r="A203" s="50">
        <v>41</v>
      </c>
      <c r="B203" s="50" t="s">
        <v>923</v>
      </c>
      <c r="C203" s="50" t="s">
        <v>1352</v>
      </c>
      <c r="D203" s="50">
        <v>24</v>
      </c>
      <c r="E203" s="50" t="s">
        <v>1359</v>
      </c>
      <c r="F203" s="50">
        <v>4</v>
      </c>
      <c r="G203" s="50">
        <v>7</v>
      </c>
      <c r="H203" s="50">
        <v>56</v>
      </c>
      <c r="I203" s="50">
        <v>2.63</v>
      </c>
      <c r="J203" s="50">
        <v>116</v>
      </c>
      <c r="K203" s="50">
        <v>94</v>
      </c>
      <c r="L203" s="50">
        <v>5.66</v>
      </c>
      <c r="M203" s="50">
        <v>5.47</v>
      </c>
      <c r="N203" s="50">
        <v>49</v>
      </c>
      <c r="O203" s="50">
        <v>10.4</v>
      </c>
      <c r="P203" s="50">
        <v>10.7</v>
      </c>
      <c r="Q203" s="50">
        <v>44.1</v>
      </c>
      <c r="R203" s="50">
        <v>32.5</v>
      </c>
      <c r="S203" s="50">
        <v>25.6</v>
      </c>
      <c r="T203" s="50">
        <v>47</v>
      </c>
      <c r="U203" s="50">
        <v>9.35</v>
      </c>
      <c r="V203" s="50">
        <v>55.2</v>
      </c>
      <c r="W203" s="50">
        <v>31</v>
      </c>
      <c r="X203" s="50">
        <v>404</v>
      </c>
      <c r="Y203" s="50">
        <v>10.23</v>
      </c>
      <c r="Z203" s="50">
        <v>29.8</v>
      </c>
      <c r="AA203" s="50">
        <v>5.01</v>
      </c>
      <c r="AB203" s="50"/>
      <c r="AC203" s="50"/>
      <c r="AD203" s="50"/>
      <c r="AE203" s="50"/>
      <c r="AF203" s="50"/>
      <c r="AG203" s="50"/>
      <c r="AH203" s="50"/>
      <c r="AI203" s="50"/>
      <c r="AJ203" s="50"/>
    </row>
    <row r="204" spans="1:36" ht="15" customHeight="1" x14ac:dyDescent="0.25">
      <c r="A204" s="50">
        <v>41</v>
      </c>
      <c r="B204" s="50" t="s">
        <v>923</v>
      </c>
      <c r="C204" s="50" t="s">
        <v>1352</v>
      </c>
      <c r="D204" s="50">
        <v>24</v>
      </c>
      <c r="E204" s="50" t="s">
        <v>1359</v>
      </c>
      <c r="F204" s="50">
        <v>8</v>
      </c>
      <c r="G204" s="50">
        <v>7</v>
      </c>
      <c r="H204" s="50">
        <v>56</v>
      </c>
      <c r="I204" s="50">
        <v>2.52</v>
      </c>
      <c r="J204" s="50">
        <v>120</v>
      </c>
      <c r="K204" s="50">
        <v>89</v>
      </c>
      <c r="L204" s="50">
        <v>5.37</v>
      </c>
      <c r="M204" s="50">
        <v>5.41</v>
      </c>
      <c r="N204" s="50">
        <v>49</v>
      </c>
      <c r="O204" s="50">
        <v>11.1</v>
      </c>
      <c r="P204" s="50">
        <v>10.6</v>
      </c>
      <c r="Q204" s="50">
        <v>46.5</v>
      </c>
      <c r="R204" s="50">
        <v>34.4</v>
      </c>
      <c r="S204" s="50">
        <v>24.8</v>
      </c>
      <c r="T204" s="50">
        <v>50</v>
      </c>
      <c r="U204" s="50">
        <v>10.08</v>
      </c>
      <c r="V204" s="50">
        <v>56.4</v>
      </c>
      <c r="W204" s="50">
        <v>37</v>
      </c>
      <c r="X204" s="50">
        <v>406</v>
      </c>
      <c r="Y204" s="50">
        <v>10.18</v>
      </c>
      <c r="Z204" s="50">
        <v>29.3</v>
      </c>
      <c r="AA204" s="50">
        <v>5.0199999999999996</v>
      </c>
      <c r="AB204" s="50"/>
      <c r="AC204" s="50"/>
      <c r="AD204" s="50"/>
      <c r="AE204" s="50"/>
      <c r="AF204" s="50"/>
      <c r="AG204" s="50"/>
      <c r="AH204" s="50"/>
      <c r="AI204" s="50"/>
      <c r="AJ204" s="50"/>
    </row>
    <row r="205" spans="1:36" ht="15" customHeight="1" x14ac:dyDescent="0.25">
      <c r="A205" s="50">
        <v>41</v>
      </c>
      <c r="B205" s="50" t="s">
        <v>923</v>
      </c>
      <c r="C205" s="50" t="s">
        <v>1352</v>
      </c>
      <c r="D205" s="50">
        <v>24</v>
      </c>
      <c r="E205" s="50" t="s">
        <v>1359</v>
      </c>
      <c r="F205" s="50">
        <v>12</v>
      </c>
      <c r="G205" s="50">
        <v>5.9</v>
      </c>
      <c r="H205" s="50">
        <v>52</v>
      </c>
      <c r="I205" s="50">
        <v>2.3199999999999998</v>
      </c>
      <c r="J205" s="50">
        <v>120</v>
      </c>
      <c r="K205" s="50">
        <v>83</v>
      </c>
      <c r="L205" s="50">
        <v>4.7300000000000004</v>
      </c>
      <c r="M205" s="50">
        <v>4.76</v>
      </c>
      <c r="N205" s="50">
        <v>43</v>
      </c>
      <c r="O205" s="50">
        <v>9.8000000000000007</v>
      </c>
      <c r="P205" s="50">
        <v>10.5</v>
      </c>
      <c r="Q205" s="50">
        <v>39.200000000000003</v>
      </c>
      <c r="R205" s="50">
        <v>38.9</v>
      </c>
      <c r="S205" s="50">
        <v>31.4</v>
      </c>
      <c r="T205" s="50">
        <v>49</v>
      </c>
      <c r="U205" s="50">
        <v>9.1999999999999993</v>
      </c>
      <c r="V205" s="50">
        <v>59.1</v>
      </c>
      <c r="W205" s="50">
        <v>43</v>
      </c>
      <c r="X205" s="50">
        <v>436</v>
      </c>
      <c r="Y205" s="50">
        <v>9.7100000000000009</v>
      </c>
      <c r="Z205" s="50">
        <v>32.299999999999997</v>
      </c>
      <c r="AA205" s="50">
        <v>5.47</v>
      </c>
      <c r="AB205" s="50"/>
      <c r="AC205" s="50"/>
      <c r="AD205" s="50"/>
      <c r="AE205" s="50"/>
      <c r="AF205" s="50"/>
      <c r="AG205" s="50"/>
      <c r="AH205" s="50"/>
      <c r="AI205" s="50"/>
      <c r="AJ205" s="50"/>
    </row>
    <row r="206" spans="1:36" ht="15" customHeight="1" x14ac:dyDescent="0.25">
      <c r="A206" s="50">
        <v>41</v>
      </c>
      <c r="B206" s="50" t="s">
        <v>923</v>
      </c>
      <c r="C206" s="50" t="s">
        <v>1352</v>
      </c>
      <c r="D206" s="50">
        <v>24</v>
      </c>
      <c r="E206" s="50" t="s">
        <v>1359</v>
      </c>
      <c r="F206" s="50">
        <v>21</v>
      </c>
      <c r="G206" s="50">
        <v>5</v>
      </c>
      <c r="H206" s="50">
        <v>50</v>
      </c>
      <c r="I206" s="50">
        <v>1.94</v>
      </c>
      <c r="J206" s="50">
        <v>132</v>
      </c>
      <c r="K206" s="50">
        <v>71</v>
      </c>
      <c r="L206" s="50">
        <v>4.1500000000000004</v>
      </c>
      <c r="M206" s="50">
        <v>4</v>
      </c>
      <c r="N206" s="50">
        <v>40</v>
      </c>
      <c r="O206" s="50">
        <v>8.4</v>
      </c>
      <c r="P206" s="50">
        <v>9.6999999999999993</v>
      </c>
      <c r="Q206" s="50">
        <v>36.299999999999997</v>
      </c>
      <c r="R206" s="50">
        <v>41.9</v>
      </c>
      <c r="S206" s="50">
        <v>34.4</v>
      </c>
      <c r="T206" s="50">
        <v>51</v>
      </c>
      <c r="U206" s="50">
        <v>8.4600000000000009</v>
      </c>
      <c r="V206" s="50">
        <v>61.1</v>
      </c>
      <c r="W206" s="50">
        <v>44</v>
      </c>
      <c r="X206" s="50">
        <v>452</v>
      </c>
      <c r="Y206" s="50">
        <v>9.94</v>
      </c>
      <c r="Z206" s="50">
        <v>35.799999999999997</v>
      </c>
      <c r="AA206" s="50">
        <v>5.57</v>
      </c>
      <c r="AB206" s="50"/>
      <c r="AC206" s="50"/>
      <c r="AD206" s="50"/>
      <c r="AE206" s="50"/>
      <c r="AF206" s="50"/>
      <c r="AG206" s="50"/>
      <c r="AH206" s="50"/>
      <c r="AI206" s="50"/>
      <c r="AJ206" s="50"/>
    </row>
    <row r="207" spans="1:36" ht="15" customHeight="1" x14ac:dyDescent="0.25">
      <c r="A207" s="50">
        <v>42</v>
      </c>
      <c r="B207" s="50" t="s">
        <v>923</v>
      </c>
      <c r="C207" s="50" t="s">
        <v>1352</v>
      </c>
      <c r="D207" s="50">
        <v>46</v>
      </c>
      <c r="E207" s="50" t="s">
        <v>1359</v>
      </c>
      <c r="F207" s="50">
        <v>0</v>
      </c>
      <c r="G207" s="50">
        <v>7.3</v>
      </c>
      <c r="H207" s="50">
        <v>44</v>
      </c>
      <c r="I207" s="50">
        <v>3.82</v>
      </c>
      <c r="J207" s="50">
        <v>82</v>
      </c>
      <c r="K207" s="50">
        <v>100</v>
      </c>
      <c r="L207" s="50">
        <v>7.74</v>
      </c>
      <c r="M207" s="50">
        <v>5.4</v>
      </c>
      <c r="N207" s="50">
        <v>43</v>
      </c>
      <c r="O207" s="50">
        <v>14.1</v>
      </c>
      <c r="P207" s="50">
        <v>10.6</v>
      </c>
      <c r="Q207" s="50">
        <v>43.8</v>
      </c>
      <c r="R207" s="50">
        <v>29.8</v>
      </c>
      <c r="S207" s="50">
        <v>19.899999999999999</v>
      </c>
      <c r="T207" s="50">
        <v>38</v>
      </c>
      <c r="U207" s="50">
        <v>8.9499999999999993</v>
      </c>
      <c r="V207" s="50">
        <v>62.9</v>
      </c>
      <c r="W207" s="50">
        <v>47</v>
      </c>
      <c r="X207" s="50">
        <v>412</v>
      </c>
      <c r="Y207" s="50">
        <v>12.09</v>
      </c>
      <c r="Z207" s="50">
        <v>17.7</v>
      </c>
      <c r="AA207" s="50">
        <v>4.25</v>
      </c>
      <c r="AB207" s="50"/>
      <c r="AC207" s="50"/>
      <c r="AD207" s="50"/>
      <c r="AE207" s="50"/>
      <c r="AF207" s="50"/>
      <c r="AG207" s="50"/>
      <c r="AH207" s="50"/>
      <c r="AI207" s="50"/>
      <c r="AJ207" s="50"/>
    </row>
    <row r="208" spans="1:36" ht="15" customHeight="1" x14ac:dyDescent="0.25">
      <c r="A208" s="50">
        <v>42</v>
      </c>
      <c r="B208" s="50" t="s">
        <v>923</v>
      </c>
      <c r="C208" s="50" t="s">
        <v>1352</v>
      </c>
      <c r="D208" s="50">
        <v>46</v>
      </c>
      <c r="E208" s="50" t="s">
        <v>1359</v>
      </c>
      <c r="F208" s="50">
        <v>4</v>
      </c>
      <c r="G208" s="50">
        <v>6.3</v>
      </c>
      <c r="H208" s="50">
        <v>43</v>
      </c>
      <c r="I208" s="50">
        <v>3.69</v>
      </c>
      <c r="J208" s="50">
        <v>88</v>
      </c>
      <c r="K208" s="50">
        <v>94</v>
      </c>
      <c r="L208" s="50">
        <v>6.54</v>
      </c>
      <c r="M208" s="50">
        <v>4.6900000000000004</v>
      </c>
      <c r="N208" s="50">
        <v>38</v>
      </c>
      <c r="O208" s="50">
        <v>12.9</v>
      </c>
      <c r="P208" s="50">
        <v>10.1</v>
      </c>
      <c r="Q208" s="50">
        <v>41.7</v>
      </c>
      <c r="R208" s="50">
        <v>34.200000000000003</v>
      </c>
      <c r="S208" s="50">
        <v>22.5</v>
      </c>
      <c r="T208" s="50">
        <v>42</v>
      </c>
      <c r="U208" s="50">
        <v>8.14</v>
      </c>
      <c r="V208" s="50">
        <v>62.8</v>
      </c>
      <c r="W208" s="50">
        <v>48</v>
      </c>
      <c r="X208" s="50">
        <v>432</v>
      </c>
      <c r="Y208" s="50">
        <v>11.25</v>
      </c>
      <c r="Z208" s="50">
        <v>21.6</v>
      </c>
      <c r="AA208" s="50">
        <v>5.1100000000000003</v>
      </c>
      <c r="AB208" s="50"/>
      <c r="AC208" s="50"/>
      <c r="AD208" s="50"/>
      <c r="AE208" s="50"/>
      <c r="AF208" s="50"/>
      <c r="AG208" s="50"/>
      <c r="AH208" s="50"/>
      <c r="AI208" s="50"/>
      <c r="AJ208" s="50"/>
    </row>
    <row r="209" spans="1:36" ht="15" customHeight="1" x14ac:dyDescent="0.25">
      <c r="A209" s="50">
        <v>42</v>
      </c>
      <c r="B209" s="50" t="s">
        <v>923</v>
      </c>
      <c r="C209" s="50" t="s">
        <v>1352</v>
      </c>
      <c r="D209" s="50">
        <v>46</v>
      </c>
      <c r="E209" s="50" t="s">
        <v>1359</v>
      </c>
      <c r="F209" s="50">
        <v>8</v>
      </c>
      <c r="G209" s="50">
        <v>6.2</v>
      </c>
      <c r="H209" s="50">
        <v>39</v>
      </c>
      <c r="I209" s="50">
        <v>3.47</v>
      </c>
      <c r="J209" s="50">
        <v>89</v>
      </c>
      <c r="K209" s="50">
        <v>89</v>
      </c>
      <c r="L209" s="50">
        <v>6.35</v>
      </c>
      <c r="M209" s="50">
        <v>4.74</v>
      </c>
      <c r="N209" s="50">
        <v>40</v>
      </c>
      <c r="O209" s="50">
        <v>13.9</v>
      </c>
      <c r="P209" s="50">
        <v>10.199999999999999</v>
      </c>
      <c r="Q209" s="50">
        <v>38.4</v>
      </c>
      <c r="R209" s="50">
        <v>38.5</v>
      </c>
      <c r="S209" s="50">
        <v>22</v>
      </c>
      <c r="T209" s="50">
        <v>44</v>
      </c>
      <c r="U209" s="50">
        <v>8.99</v>
      </c>
      <c r="V209" s="50">
        <v>62.3</v>
      </c>
      <c r="W209" s="50">
        <v>51</v>
      </c>
      <c r="X209" s="50">
        <v>438</v>
      </c>
      <c r="Y209" s="50">
        <v>10.98</v>
      </c>
      <c r="Z209" s="50">
        <v>21.7</v>
      </c>
      <c r="AA209" s="50">
        <v>4.9000000000000004</v>
      </c>
      <c r="AB209" s="50"/>
      <c r="AC209" s="50"/>
      <c r="AD209" s="50"/>
      <c r="AE209" s="50"/>
      <c r="AF209" s="50"/>
      <c r="AG209" s="50"/>
      <c r="AH209" s="50"/>
      <c r="AI209" s="50"/>
      <c r="AJ209" s="50"/>
    </row>
    <row r="210" spans="1:36" ht="15" customHeight="1" x14ac:dyDescent="0.25">
      <c r="A210" s="50">
        <v>42</v>
      </c>
      <c r="B210" s="50" t="s">
        <v>923</v>
      </c>
      <c r="C210" s="50" t="s">
        <v>1352</v>
      </c>
      <c r="D210" s="50">
        <v>46</v>
      </c>
      <c r="E210" s="50" t="s">
        <v>1359</v>
      </c>
      <c r="F210" s="50">
        <v>12</v>
      </c>
      <c r="G210" s="50">
        <v>5.8</v>
      </c>
      <c r="H210" s="50">
        <v>40</v>
      </c>
      <c r="I210" s="50">
        <v>3.38</v>
      </c>
      <c r="J210" s="50">
        <v>91</v>
      </c>
      <c r="K210" s="50">
        <v>83</v>
      </c>
      <c r="L210" s="50">
        <v>6.24</v>
      </c>
      <c r="M210" s="50">
        <v>4.57</v>
      </c>
      <c r="N210" s="50">
        <v>39</v>
      </c>
      <c r="O210" s="50">
        <v>12.7</v>
      </c>
      <c r="P210" s="50">
        <v>10</v>
      </c>
      <c r="Q210" s="50">
        <v>38.9</v>
      </c>
      <c r="R210" s="50">
        <v>37.1</v>
      </c>
      <c r="S210" s="50">
        <v>26.3</v>
      </c>
      <c r="T210" s="50">
        <v>42</v>
      </c>
      <c r="U210" s="50">
        <v>8.18</v>
      </c>
      <c r="V210" s="50">
        <v>61</v>
      </c>
      <c r="W210" s="50">
        <v>58</v>
      </c>
      <c r="X210" s="50">
        <v>437</v>
      </c>
      <c r="Y210" s="50">
        <v>11.21</v>
      </c>
      <c r="Z210" s="50">
        <v>23.8</v>
      </c>
      <c r="AA210" s="50">
        <v>5.17</v>
      </c>
      <c r="AB210" s="50"/>
      <c r="AC210" s="50"/>
      <c r="AD210" s="50"/>
      <c r="AE210" s="50"/>
      <c r="AF210" s="50"/>
      <c r="AG210" s="50"/>
      <c r="AH210" s="50"/>
      <c r="AI210" s="50"/>
      <c r="AJ210" s="50"/>
    </row>
    <row r="211" spans="1:36" ht="15" customHeight="1" x14ac:dyDescent="0.25">
      <c r="A211" s="50">
        <v>42</v>
      </c>
      <c r="B211" s="50" t="s">
        <v>923</v>
      </c>
      <c r="C211" s="50" t="s">
        <v>1352</v>
      </c>
      <c r="D211" s="50">
        <v>46</v>
      </c>
      <c r="E211" s="50" t="s">
        <v>1359</v>
      </c>
      <c r="F211" s="50">
        <v>21</v>
      </c>
      <c r="G211" s="50">
        <v>4.5999999999999996</v>
      </c>
      <c r="H211" s="50">
        <v>35</v>
      </c>
      <c r="I211" s="50">
        <v>2.87</v>
      </c>
      <c r="J211" s="50">
        <v>98</v>
      </c>
      <c r="K211" s="50">
        <v>71</v>
      </c>
      <c r="L211" s="50">
        <v>4.99</v>
      </c>
      <c r="M211" s="50">
        <v>3.66</v>
      </c>
      <c r="N211" s="50">
        <v>34</v>
      </c>
      <c r="O211" s="50">
        <v>11.4</v>
      </c>
      <c r="P211" s="50">
        <v>8.9</v>
      </c>
      <c r="Q211" s="50">
        <v>34.299999999999997</v>
      </c>
      <c r="R211" s="50">
        <v>48.1</v>
      </c>
      <c r="S211" s="50">
        <v>31.7</v>
      </c>
      <c r="T211" s="50">
        <v>50</v>
      </c>
      <c r="U211" s="50">
        <v>7.02</v>
      </c>
      <c r="V211" s="50">
        <v>63.7</v>
      </c>
      <c r="W211" s="50">
        <v>58</v>
      </c>
      <c r="X211" s="50">
        <v>470</v>
      </c>
      <c r="Y211" s="50">
        <v>9.98</v>
      </c>
      <c r="Z211" s="50">
        <v>27.8</v>
      </c>
      <c r="AA211" s="50">
        <v>5.83</v>
      </c>
      <c r="AB211" s="50"/>
      <c r="AC211" s="50"/>
      <c r="AD211" s="50"/>
      <c r="AE211" s="50"/>
      <c r="AF211" s="50"/>
      <c r="AG211" s="50"/>
      <c r="AH211" s="50"/>
      <c r="AI211" s="50"/>
      <c r="AJ211" s="50"/>
    </row>
    <row r="212" spans="1:36" ht="15" customHeight="1" x14ac:dyDescent="0.25">
      <c r="A212" s="50">
        <v>43</v>
      </c>
      <c r="B212" s="50" t="s">
        <v>924</v>
      </c>
      <c r="C212" s="50" t="s">
        <v>1352</v>
      </c>
      <c r="D212" s="50">
        <v>38</v>
      </c>
      <c r="E212" s="50" t="s">
        <v>1353</v>
      </c>
      <c r="F212" s="50">
        <v>0</v>
      </c>
      <c r="G212" s="50">
        <v>6.8</v>
      </c>
      <c r="H212" s="50">
        <v>35</v>
      </c>
      <c r="I212" s="50">
        <v>3.89</v>
      </c>
      <c r="J212" s="50">
        <v>104</v>
      </c>
      <c r="K212" s="50">
        <v>100</v>
      </c>
      <c r="L212" s="50">
        <v>6.82</v>
      </c>
      <c r="M212" s="50">
        <v>7.55</v>
      </c>
      <c r="N212" s="50">
        <v>50</v>
      </c>
      <c r="O212" s="50">
        <v>13.6</v>
      </c>
      <c r="P212" s="50">
        <v>9.6999999999999993</v>
      </c>
      <c r="Q212" s="50">
        <v>41.5</v>
      </c>
      <c r="R212" s="50">
        <v>34.299999999999997</v>
      </c>
      <c r="S212" s="50">
        <v>8.3000000000000007</v>
      </c>
      <c r="T212" s="50">
        <v>23</v>
      </c>
      <c r="U212" s="50">
        <v>7.98</v>
      </c>
      <c r="V212" s="50">
        <v>57.1</v>
      </c>
      <c r="W212" s="50">
        <v>39</v>
      </c>
      <c r="X212" s="50">
        <v>336</v>
      </c>
      <c r="Y212" s="50">
        <v>11.2</v>
      </c>
      <c r="Z212" s="50">
        <v>26.7</v>
      </c>
      <c r="AA212" s="50">
        <v>4.83</v>
      </c>
      <c r="AB212" s="50"/>
      <c r="AC212" s="50"/>
      <c r="AD212" s="50"/>
      <c r="AE212" s="50"/>
      <c r="AF212" s="50"/>
      <c r="AG212" s="50"/>
      <c r="AH212" s="50"/>
      <c r="AI212" s="50"/>
      <c r="AJ212" s="50"/>
    </row>
    <row r="213" spans="1:36" ht="15" customHeight="1" x14ac:dyDescent="0.25">
      <c r="A213" s="50">
        <v>43</v>
      </c>
      <c r="B213" s="50" t="s">
        <v>924</v>
      </c>
      <c r="C213" s="50" t="s">
        <v>1352</v>
      </c>
      <c r="D213" s="50">
        <v>38</v>
      </c>
      <c r="E213" s="50" t="s">
        <v>1353</v>
      </c>
      <c r="F213" s="50">
        <v>4</v>
      </c>
      <c r="G213" s="50">
        <v>6.1</v>
      </c>
      <c r="H213" s="50">
        <v>33</v>
      </c>
      <c r="I213" s="50">
        <v>3.5</v>
      </c>
      <c r="J213" s="50">
        <v>105</v>
      </c>
      <c r="K213" s="50">
        <v>92</v>
      </c>
      <c r="L213" s="50">
        <v>6</v>
      </c>
      <c r="M213" s="50">
        <v>7.11</v>
      </c>
      <c r="N213" s="50">
        <v>45</v>
      </c>
      <c r="O213" s="50">
        <v>13.4</v>
      </c>
      <c r="P213" s="50">
        <v>9.3000000000000007</v>
      </c>
      <c r="Q213" s="50">
        <v>39.6</v>
      </c>
      <c r="R213" s="50">
        <v>42.1</v>
      </c>
      <c r="S213" s="50">
        <v>11.5</v>
      </c>
      <c r="T213" s="50">
        <v>33</v>
      </c>
      <c r="U213" s="50">
        <v>7.54</v>
      </c>
      <c r="V213" s="50">
        <v>59.8</v>
      </c>
      <c r="W213" s="50">
        <v>46</v>
      </c>
      <c r="X213" s="50">
        <v>356</v>
      </c>
      <c r="Y213" s="50">
        <v>10.9</v>
      </c>
      <c r="Z213" s="50">
        <v>27.5</v>
      </c>
      <c r="AA213" s="50">
        <v>5.04</v>
      </c>
      <c r="AB213" s="50"/>
      <c r="AC213" s="50"/>
      <c r="AD213" s="50"/>
      <c r="AE213" s="50"/>
      <c r="AF213" s="50"/>
      <c r="AG213" s="50"/>
      <c r="AH213" s="50"/>
      <c r="AI213" s="50"/>
      <c r="AJ213" s="50"/>
    </row>
    <row r="214" spans="1:36" ht="15" customHeight="1" x14ac:dyDescent="0.25">
      <c r="A214" s="50">
        <v>43</v>
      </c>
      <c r="B214" s="50" t="s">
        <v>924</v>
      </c>
      <c r="C214" s="50" t="s">
        <v>1352</v>
      </c>
      <c r="D214" s="50">
        <v>38</v>
      </c>
      <c r="E214" s="50" t="s">
        <v>1353</v>
      </c>
      <c r="F214" s="50">
        <v>8</v>
      </c>
      <c r="G214" s="50">
        <v>5.2</v>
      </c>
      <c r="H214" s="50">
        <v>30</v>
      </c>
      <c r="I214" s="50">
        <v>3.04</v>
      </c>
      <c r="J214" s="50">
        <v>107</v>
      </c>
      <c r="K214" s="50">
        <v>84</v>
      </c>
      <c r="L214" s="50">
        <v>5.44</v>
      </c>
      <c r="M214" s="50">
        <v>5.98</v>
      </c>
      <c r="N214" s="50">
        <v>43</v>
      </c>
      <c r="O214" s="50">
        <v>13</v>
      </c>
      <c r="P214" s="50">
        <v>9</v>
      </c>
      <c r="Q214" s="50">
        <v>37</v>
      </c>
      <c r="R214" s="50">
        <v>46.9</v>
      </c>
      <c r="S214" s="50">
        <v>14.9</v>
      </c>
      <c r="T214" s="50">
        <v>41</v>
      </c>
      <c r="U214" s="50">
        <v>7.71</v>
      </c>
      <c r="V214" s="50">
        <v>61.6</v>
      </c>
      <c r="W214" s="50">
        <v>56</v>
      </c>
      <c r="X214" s="50">
        <v>391</v>
      </c>
      <c r="Y214" s="50">
        <v>10.44</v>
      </c>
      <c r="Z214" s="50">
        <v>30</v>
      </c>
      <c r="AA214" s="50">
        <v>5.53</v>
      </c>
      <c r="AB214" s="50"/>
      <c r="AC214" s="50"/>
      <c r="AD214" s="50"/>
      <c r="AE214" s="50"/>
      <c r="AF214" s="50"/>
      <c r="AG214" s="50"/>
      <c r="AH214" s="50"/>
      <c r="AI214" s="50"/>
      <c r="AJ214" s="50"/>
    </row>
    <row r="215" spans="1:36" ht="15" customHeight="1" x14ac:dyDescent="0.25">
      <c r="A215" s="50">
        <v>43</v>
      </c>
      <c r="B215" s="50" t="s">
        <v>924</v>
      </c>
      <c r="C215" s="50" t="s">
        <v>1352</v>
      </c>
      <c r="D215" s="50">
        <v>38</v>
      </c>
      <c r="E215" s="50" t="s">
        <v>1353</v>
      </c>
      <c r="F215" s="50">
        <v>12</v>
      </c>
      <c r="G215" s="50">
        <v>4.8</v>
      </c>
      <c r="H215" s="50">
        <v>27</v>
      </c>
      <c r="I215" s="50">
        <v>2.77</v>
      </c>
      <c r="J215" s="50">
        <v>112</v>
      </c>
      <c r="K215" s="50">
        <v>76</v>
      </c>
      <c r="L215" s="50">
        <v>5.01</v>
      </c>
      <c r="M215" s="50">
        <v>5.39</v>
      </c>
      <c r="N215" s="50">
        <v>37</v>
      </c>
      <c r="O215" s="50">
        <v>11.6</v>
      </c>
      <c r="P215" s="50">
        <v>7.7</v>
      </c>
      <c r="Q215" s="50">
        <v>37</v>
      </c>
      <c r="R215" s="50">
        <v>50.2</v>
      </c>
      <c r="S215" s="50">
        <v>21.1</v>
      </c>
      <c r="T215" s="50">
        <v>40</v>
      </c>
      <c r="U215" s="50">
        <v>6.16</v>
      </c>
      <c r="V215" s="50">
        <v>61.1</v>
      </c>
      <c r="W215" s="50">
        <v>52</v>
      </c>
      <c r="X215" s="50">
        <v>379</v>
      </c>
      <c r="Y215" s="50">
        <v>10.029999999999999</v>
      </c>
      <c r="Z215" s="50">
        <v>27.7</v>
      </c>
      <c r="AA215" s="50">
        <v>5.66</v>
      </c>
      <c r="AB215" s="50"/>
      <c r="AC215" s="50"/>
      <c r="AD215" s="50"/>
      <c r="AE215" s="50"/>
      <c r="AF215" s="50"/>
      <c r="AG215" s="50"/>
      <c r="AH215" s="50"/>
      <c r="AI215" s="50"/>
      <c r="AJ215" s="50"/>
    </row>
    <row r="216" spans="1:36" ht="15" customHeight="1" x14ac:dyDescent="0.25">
      <c r="A216" s="50">
        <v>43</v>
      </c>
      <c r="B216" s="50" t="s">
        <v>924</v>
      </c>
      <c r="C216" s="50" t="s">
        <v>1352</v>
      </c>
      <c r="D216" s="50">
        <v>38</v>
      </c>
      <c r="E216" s="50" t="s">
        <v>1353</v>
      </c>
      <c r="F216" s="50">
        <v>21</v>
      </c>
      <c r="G216" s="50">
        <v>3</v>
      </c>
      <c r="H216" s="50">
        <v>19</v>
      </c>
      <c r="I216" s="50">
        <v>2.06</v>
      </c>
      <c r="J216" s="50">
        <v>124</v>
      </c>
      <c r="K216" s="50">
        <v>58</v>
      </c>
      <c r="L216" s="50">
        <v>3.46</v>
      </c>
      <c r="M216" s="50">
        <v>4.4400000000000004</v>
      </c>
      <c r="N216" s="50">
        <v>31</v>
      </c>
      <c r="O216" s="50">
        <v>10.199999999999999</v>
      </c>
      <c r="P216" s="50">
        <v>6.7</v>
      </c>
      <c r="Q216" s="50">
        <v>28.7</v>
      </c>
      <c r="R216" s="50">
        <v>64.3</v>
      </c>
      <c r="S216" s="50">
        <v>28.8</v>
      </c>
      <c r="T216" s="50">
        <v>60</v>
      </c>
      <c r="U216" s="50">
        <v>4.97</v>
      </c>
      <c r="V216" s="50">
        <v>66.7</v>
      </c>
      <c r="W216" s="50">
        <v>69</v>
      </c>
      <c r="X216" s="50">
        <v>438</v>
      </c>
      <c r="Y216" s="50">
        <v>8.82</v>
      </c>
      <c r="Z216" s="50">
        <v>37.799999999999997</v>
      </c>
      <c r="AA216" s="50">
        <v>5.86</v>
      </c>
      <c r="AB216" s="50"/>
      <c r="AC216" s="50"/>
      <c r="AD216" s="50"/>
      <c r="AE216" s="50"/>
      <c r="AF216" s="50"/>
      <c r="AG216" s="50"/>
      <c r="AH216" s="50"/>
      <c r="AI216" s="50"/>
      <c r="AJ216" s="50"/>
    </row>
    <row r="217" spans="1:36" ht="15" customHeight="1" x14ac:dyDescent="0.25">
      <c r="A217" s="50">
        <v>44</v>
      </c>
      <c r="B217" s="50" t="s">
        <v>924</v>
      </c>
      <c r="C217" s="50" t="s">
        <v>1357</v>
      </c>
      <c r="D217" s="50">
        <v>34</v>
      </c>
      <c r="E217" s="50" t="s">
        <v>1359</v>
      </c>
      <c r="F217" s="50">
        <v>0</v>
      </c>
      <c r="G217" s="50">
        <v>7.7</v>
      </c>
      <c r="H217" s="50">
        <v>54</v>
      </c>
      <c r="I217" s="50">
        <v>3.84</v>
      </c>
      <c r="J217" s="50">
        <v>82</v>
      </c>
      <c r="K217" s="50">
        <v>100</v>
      </c>
      <c r="L217" s="50">
        <v>7.23</v>
      </c>
      <c r="M217" s="50">
        <v>6.3</v>
      </c>
      <c r="N217" s="50">
        <v>51</v>
      </c>
      <c r="O217" s="50">
        <v>10.9</v>
      </c>
      <c r="P217" s="50">
        <v>10</v>
      </c>
      <c r="Q217" s="50">
        <v>25.3</v>
      </c>
      <c r="R217" s="50">
        <v>27.5</v>
      </c>
      <c r="S217" s="50">
        <v>18</v>
      </c>
      <c r="T217" s="50">
        <v>22</v>
      </c>
      <c r="U217" s="50">
        <v>10.37</v>
      </c>
      <c r="V217" s="50">
        <v>62.2</v>
      </c>
      <c r="W217" s="50">
        <v>41</v>
      </c>
      <c r="X217" s="50">
        <v>316</v>
      </c>
      <c r="Y217" s="50">
        <v>12.82</v>
      </c>
      <c r="Z217" s="50">
        <v>25.3</v>
      </c>
      <c r="AA217" s="50">
        <v>4.66</v>
      </c>
      <c r="AB217" s="50"/>
      <c r="AC217" s="50"/>
      <c r="AD217" s="50"/>
      <c r="AE217" s="50"/>
      <c r="AF217" s="50"/>
      <c r="AG217" s="50"/>
      <c r="AH217" s="50"/>
      <c r="AI217" s="50"/>
      <c r="AJ217" s="50"/>
    </row>
    <row r="218" spans="1:36" ht="15" customHeight="1" x14ac:dyDescent="0.25">
      <c r="A218" s="50">
        <v>44</v>
      </c>
      <c r="B218" s="50" t="s">
        <v>924</v>
      </c>
      <c r="C218" s="50" t="s">
        <v>1357</v>
      </c>
      <c r="D218" s="50">
        <v>34</v>
      </c>
      <c r="E218" s="50" t="s">
        <v>1359</v>
      </c>
      <c r="F218" s="50">
        <v>4</v>
      </c>
      <c r="G218" s="50">
        <v>6.7</v>
      </c>
      <c r="H218" s="50">
        <v>52</v>
      </c>
      <c r="I218" s="50">
        <v>3.5</v>
      </c>
      <c r="J218" s="50">
        <v>89</v>
      </c>
      <c r="K218" s="50">
        <v>92</v>
      </c>
      <c r="L218" s="50">
        <v>6.19</v>
      </c>
      <c r="M218" s="50">
        <v>5.47</v>
      </c>
      <c r="N218" s="50">
        <v>48</v>
      </c>
      <c r="O218" s="50">
        <v>11.1</v>
      </c>
      <c r="P218" s="50">
        <v>10.4</v>
      </c>
      <c r="Q218" s="50">
        <v>27</v>
      </c>
      <c r="R218" s="50">
        <v>34.1</v>
      </c>
      <c r="S218" s="50">
        <v>21.6</v>
      </c>
      <c r="T218" s="50">
        <v>29</v>
      </c>
      <c r="U218" s="50">
        <v>10.39</v>
      </c>
      <c r="V218" s="50">
        <v>64.400000000000006</v>
      </c>
      <c r="W218" s="50">
        <v>49</v>
      </c>
      <c r="X218" s="50">
        <v>331</v>
      </c>
      <c r="Y218" s="50">
        <v>12.79</v>
      </c>
      <c r="Z218" s="50">
        <v>27.8</v>
      </c>
      <c r="AA218" s="50">
        <v>4.7300000000000004</v>
      </c>
      <c r="AB218" s="50"/>
      <c r="AC218" s="50"/>
      <c r="AD218" s="50"/>
      <c r="AE218" s="50"/>
      <c r="AF218" s="50"/>
      <c r="AG218" s="50"/>
      <c r="AH218" s="50"/>
      <c r="AI218" s="50"/>
      <c r="AJ218" s="50"/>
    </row>
    <row r="219" spans="1:36" ht="15" customHeight="1" x14ac:dyDescent="0.25">
      <c r="A219" s="50">
        <v>44</v>
      </c>
      <c r="B219" s="50" t="s">
        <v>924</v>
      </c>
      <c r="C219" s="50" t="s">
        <v>1357</v>
      </c>
      <c r="D219" s="50">
        <v>34</v>
      </c>
      <c r="E219" s="50" t="s">
        <v>1359</v>
      </c>
      <c r="F219" s="50">
        <v>8</v>
      </c>
      <c r="G219" s="50">
        <v>6.2</v>
      </c>
      <c r="H219" s="50">
        <v>49</v>
      </c>
      <c r="I219" s="50">
        <v>3.14</v>
      </c>
      <c r="J219" s="50">
        <v>95</v>
      </c>
      <c r="K219" s="50">
        <v>84</v>
      </c>
      <c r="L219" s="50">
        <v>6.09</v>
      </c>
      <c r="M219" s="50">
        <v>5.21</v>
      </c>
      <c r="N219" s="50">
        <v>43</v>
      </c>
      <c r="O219" s="50">
        <v>10.1</v>
      </c>
      <c r="P219" s="50">
        <v>9.8000000000000007</v>
      </c>
      <c r="Q219" s="50">
        <v>26.8</v>
      </c>
      <c r="R219" s="50">
        <v>37.299999999999997</v>
      </c>
      <c r="S219" s="50">
        <v>21.4</v>
      </c>
      <c r="T219" s="50">
        <v>36</v>
      </c>
      <c r="U219" s="50">
        <v>9.6</v>
      </c>
      <c r="V219" s="50">
        <v>63.7</v>
      </c>
      <c r="W219" s="50">
        <v>47</v>
      </c>
      <c r="X219" s="50">
        <v>330</v>
      </c>
      <c r="Y219" s="50">
        <v>11.98</v>
      </c>
      <c r="Z219" s="50">
        <v>27.5</v>
      </c>
      <c r="AA219" s="50">
        <v>5.38</v>
      </c>
      <c r="AB219" s="50"/>
      <c r="AC219" s="50"/>
      <c r="AD219" s="50"/>
      <c r="AE219" s="50"/>
      <c r="AF219" s="50"/>
      <c r="AG219" s="50"/>
      <c r="AH219" s="50"/>
      <c r="AI219" s="50"/>
      <c r="AJ219" s="50"/>
    </row>
    <row r="220" spans="1:36" ht="15" customHeight="1" x14ac:dyDescent="0.25">
      <c r="A220" s="50">
        <v>44</v>
      </c>
      <c r="B220" s="50" t="s">
        <v>924</v>
      </c>
      <c r="C220" s="50" t="s">
        <v>1357</v>
      </c>
      <c r="D220" s="50">
        <v>34</v>
      </c>
      <c r="E220" s="50" t="s">
        <v>1359</v>
      </c>
      <c r="F220" s="50">
        <v>12</v>
      </c>
      <c r="G220" s="50">
        <v>5.3</v>
      </c>
      <c r="H220" s="50">
        <v>44</v>
      </c>
      <c r="I220" s="50">
        <v>2.85</v>
      </c>
      <c r="J220" s="50">
        <v>99</v>
      </c>
      <c r="K220" s="50">
        <v>76</v>
      </c>
      <c r="L220" s="50">
        <v>5.19</v>
      </c>
      <c r="M220" s="50">
        <v>4.75</v>
      </c>
      <c r="N220" s="50">
        <v>39</v>
      </c>
      <c r="O220" s="50">
        <v>9.6</v>
      </c>
      <c r="P220" s="50">
        <v>8.5</v>
      </c>
      <c r="Q220" s="50">
        <v>25.5</v>
      </c>
      <c r="R220" s="50">
        <v>45.8</v>
      </c>
      <c r="S220" s="50">
        <v>24.3</v>
      </c>
      <c r="T220" s="50">
        <v>36</v>
      </c>
      <c r="U220" s="50">
        <v>8.9700000000000006</v>
      </c>
      <c r="V220" s="50">
        <v>66.8</v>
      </c>
      <c r="W220" s="50">
        <v>54</v>
      </c>
      <c r="X220" s="50">
        <v>375</v>
      </c>
      <c r="Y220" s="50">
        <v>11.67</v>
      </c>
      <c r="Z220" s="50">
        <v>34</v>
      </c>
      <c r="AA220" s="50">
        <v>5.4</v>
      </c>
      <c r="AB220" s="50"/>
      <c r="AC220" s="50"/>
      <c r="AD220" s="50"/>
      <c r="AE220" s="50"/>
      <c r="AF220" s="50"/>
      <c r="AG220" s="50"/>
      <c r="AH220" s="50"/>
      <c r="AI220" s="50"/>
      <c r="AJ220" s="50"/>
    </row>
    <row r="221" spans="1:36" ht="15" customHeight="1" x14ac:dyDescent="0.25">
      <c r="A221" s="50">
        <v>44</v>
      </c>
      <c r="B221" s="50" t="s">
        <v>924</v>
      </c>
      <c r="C221" s="50" t="s">
        <v>1357</v>
      </c>
      <c r="D221" s="50">
        <v>34</v>
      </c>
      <c r="E221" s="50" t="s">
        <v>1359</v>
      </c>
      <c r="F221" s="50">
        <v>21</v>
      </c>
      <c r="G221" s="50">
        <v>3.3</v>
      </c>
      <c r="H221" s="50">
        <v>39</v>
      </c>
      <c r="I221" s="50">
        <v>2.06</v>
      </c>
      <c r="J221" s="50">
        <v>107</v>
      </c>
      <c r="K221" s="50">
        <v>58</v>
      </c>
      <c r="L221" s="50">
        <v>3.85</v>
      </c>
      <c r="M221" s="50">
        <v>2.59</v>
      </c>
      <c r="N221" s="50">
        <v>34</v>
      </c>
      <c r="O221" s="50">
        <v>7.7</v>
      </c>
      <c r="P221" s="50">
        <v>8.1</v>
      </c>
      <c r="Q221" s="50">
        <v>22.5</v>
      </c>
      <c r="R221" s="50">
        <v>58.3</v>
      </c>
      <c r="S221" s="50">
        <v>33.1</v>
      </c>
      <c r="T221" s="50">
        <v>52</v>
      </c>
      <c r="U221" s="50">
        <v>6.62</v>
      </c>
      <c r="V221" s="50">
        <v>69.5</v>
      </c>
      <c r="W221" s="50">
        <v>69</v>
      </c>
      <c r="X221" s="50">
        <v>385</v>
      </c>
      <c r="Y221" s="50">
        <v>9.01</v>
      </c>
      <c r="Z221" s="50">
        <v>37.700000000000003</v>
      </c>
      <c r="AA221" s="50">
        <v>6.24</v>
      </c>
      <c r="AB221" s="50"/>
      <c r="AC221" s="50"/>
      <c r="AD221" s="50"/>
      <c r="AE221" s="50"/>
      <c r="AF221" s="50"/>
      <c r="AG221" s="50"/>
      <c r="AH221" s="50"/>
      <c r="AI221" s="50"/>
      <c r="AJ221" s="50"/>
    </row>
    <row r="222" spans="1:36" ht="15" customHeight="1" x14ac:dyDescent="0.25">
      <c r="A222" s="50">
        <v>45</v>
      </c>
      <c r="B222" s="50" t="s">
        <v>924</v>
      </c>
      <c r="C222" s="50" t="s">
        <v>1352</v>
      </c>
      <c r="D222" s="50">
        <v>27</v>
      </c>
      <c r="E222" s="50" t="s">
        <v>1359</v>
      </c>
      <c r="F222" s="50">
        <v>0</v>
      </c>
      <c r="G222" s="50">
        <v>6.4</v>
      </c>
      <c r="H222" s="50">
        <v>53</v>
      </c>
      <c r="I222" s="50">
        <v>2.42</v>
      </c>
      <c r="J222" s="50">
        <v>109</v>
      </c>
      <c r="K222" s="50">
        <v>100</v>
      </c>
      <c r="L222" s="50">
        <v>6.25</v>
      </c>
      <c r="M222" s="50">
        <v>5.25</v>
      </c>
      <c r="N222" s="50">
        <v>38</v>
      </c>
      <c r="O222" s="50">
        <v>11.4</v>
      </c>
      <c r="P222" s="50">
        <v>11.6</v>
      </c>
      <c r="Q222" s="50">
        <v>51</v>
      </c>
      <c r="R222" s="50">
        <v>54.2</v>
      </c>
      <c r="S222" s="50">
        <v>16</v>
      </c>
      <c r="T222" s="50">
        <v>29</v>
      </c>
      <c r="U222" s="50">
        <v>10.45</v>
      </c>
      <c r="V222" s="50">
        <v>61.5</v>
      </c>
      <c r="W222" s="50">
        <v>32</v>
      </c>
      <c r="X222" s="50">
        <v>292</v>
      </c>
      <c r="Y222" s="50">
        <v>10.82</v>
      </c>
      <c r="Z222" s="50">
        <v>24.1</v>
      </c>
      <c r="AA222" s="50">
        <v>7.12</v>
      </c>
      <c r="AB222" s="50"/>
      <c r="AC222" s="50"/>
      <c r="AD222" s="50"/>
      <c r="AE222" s="50"/>
      <c r="AF222" s="50"/>
      <c r="AG222" s="50"/>
      <c r="AH222" s="50"/>
      <c r="AI222" s="50"/>
      <c r="AJ222" s="50"/>
    </row>
    <row r="223" spans="1:36" ht="15" customHeight="1" x14ac:dyDescent="0.25">
      <c r="A223" s="50">
        <v>45</v>
      </c>
      <c r="B223" s="50" t="s">
        <v>924</v>
      </c>
      <c r="C223" s="50" t="s">
        <v>1352</v>
      </c>
      <c r="D223" s="50">
        <v>27</v>
      </c>
      <c r="E223" s="50" t="s">
        <v>1359</v>
      </c>
      <c r="F223" s="50">
        <v>4</v>
      </c>
      <c r="G223" s="50">
        <v>5.5</v>
      </c>
      <c r="H223" s="50">
        <v>51</v>
      </c>
      <c r="I223" s="50">
        <v>2.2400000000000002</v>
      </c>
      <c r="J223" s="50">
        <v>122</v>
      </c>
      <c r="K223" s="50">
        <v>92</v>
      </c>
      <c r="L223" s="50">
        <v>5.52</v>
      </c>
      <c r="M223" s="50">
        <v>4.6900000000000004</v>
      </c>
      <c r="N223" s="50">
        <v>36</v>
      </c>
      <c r="O223" s="50">
        <v>10.6</v>
      </c>
      <c r="P223" s="50">
        <v>10.3</v>
      </c>
      <c r="Q223" s="50">
        <v>42.8</v>
      </c>
      <c r="R223" s="50">
        <v>59.7</v>
      </c>
      <c r="S223" s="50">
        <v>23.3</v>
      </c>
      <c r="T223" s="50">
        <v>38</v>
      </c>
      <c r="U223" s="50">
        <v>8.94</v>
      </c>
      <c r="V223" s="50">
        <v>64.400000000000006</v>
      </c>
      <c r="W223" s="50">
        <v>40</v>
      </c>
      <c r="X223" s="50">
        <v>331</v>
      </c>
      <c r="Y223" s="50">
        <v>10.119999999999999</v>
      </c>
      <c r="Z223" s="50">
        <v>25.8</v>
      </c>
      <c r="AA223" s="50">
        <v>7.23</v>
      </c>
      <c r="AB223" s="50"/>
      <c r="AC223" s="50"/>
      <c r="AD223" s="50"/>
      <c r="AE223" s="50"/>
      <c r="AF223" s="50"/>
      <c r="AG223" s="50"/>
      <c r="AH223" s="50"/>
      <c r="AI223" s="50"/>
      <c r="AJ223" s="50"/>
    </row>
    <row r="224" spans="1:36" ht="15" customHeight="1" x14ac:dyDescent="0.25">
      <c r="A224" s="50">
        <v>45</v>
      </c>
      <c r="B224" s="50" t="s">
        <v>924</v>
      </c>
      <c r="C224" s="50" t="s">
        <v>1352</v>
      </c>
      <c r="D224" s="50">
        <v>27</v>
      </c>
      <c r="E224" s="50" t="s">
        <v>1359</v>
      </c>
      <c r="F224" s="50">
        <v>8</v>
      </c>
      <c r="G224" s="50">
        <v>4.8</v>
      </c>
      <c r="H224" s="50">
        <v>45</v>
      </c>
      <c r="I224" s="50">
        <v>2</v>
      </c>
      <c r="J224" s="50">
        <v>115</v>
      </c>
      <c r="K224" s="50">
        <v>84</v>
      </c>
      <c r="L224" s="50">
        <v>4.83</v>
      </c>
      <c r="M224" s="50">
        <v>4.21</v>
      </c>
      <c r="N224" s="50">
        <v>34</v>
      </c>
      <c r="O224" s="50">
        <v>10.8</v>
      </c>
      <c r="P224" s="50">
        <v>10.199999999999999</v>
      </c>
      <c r="Q224" s="50">
        <v>41.5</v>
      </c>
      <c r="R224" s="50">
        <v>58.4</v>
      </c>
      <c r="S224" s="50">
        <v>25.2</v>
      </c>
      <c r="T224" s="50">
        <v>40</v>
      </c>
      <c r="U224" s="50">
        <v>9.31</v>
      </c>
      <c r="V224" s="50">
        <v>65.400000000000006</v>
      </c>
      <c r="W224" s="50">
        <v>43</v>
      </c>
      <c r="X224" s="50">
        <v>372</v>
      </c>
      <c r="Y224" s="50">
        <v>9.93</v>
      </c>
      <c r="Z224" s="50">
        <v>27.8</v>
      </c>
      <c r="AA224" s="50">
        <v>7.2</v>
      </c>
      <c r="AB224" s="50"/>
      <c r="AC224" s="50"/>
      <c r="AD224" s="50"/>
      <c r="AE224" s="50"/>
      <c r="AF224" s="50"/>
      <c r="AG224" s="50"/>
      <c r="AH224" s="50"/>
      <c r="AI224" s="50"/>
      <c r="AJ224" s="50"/>
    </row>
    <row r="225" spans="1:36" ht="15" customHeight="1" x14ac:dyDescent="0.25">
      <c r="A225" s="50">
        <v>45</v>
      </c>
      <c r="B225" s="50" t="s">
        <v>924</v>
      </c>
      <c r="C225" s="50" t="s">
        <v>1352</v>
      </c>
      <c r="D225" s="50">
        <v>27</v>
      </c>
      <c r="E225" s="50" t="s">
        <v>1359</v>
      </c>
      <c r="F225" s="50">
        <v>12</v>
      </c>
      <c r="G225" s="50">
        <v>4.0999999999999996</v>
      </c>
      <c r="H225" s="50">
        <v>45</v>
      </c>
      <c r="I225" s="50">
        <v>1.8</v>
      </c>
      <c r="J225" s="50">
        <v>125</v>
      </c>
      <c r="K225" s="50">
        <v>76</v>
      </c>
      <c r="L225" s="50">
        <v>4.49</v>
      </c>
      <c r="M225" s="50">
        <v>3.5</v>
      </c>
      <c r="N225" s="50">
        <v>34</v>
      </c>
      <c r="O225" s="50">
        <v>8.5</v>
      </c>
      <c r="P225" s="50">
        <v>9.5</v>
      </c>
      <c r="Q225" s="50">
        <v>31.8</v>
      </c>
      <c r="R225" s="50">
        <v>61.5</v>
      </c>
      <c r="S225" s="50">
        <v>28.7</v>
      </c>
      <c r="T225" s="50">
        <v>48</v>
      </c>
      <c r="U225" s="50">
        <v>8.33</v>
      </c>
      <c r="V225" s="50">
        <v>67.7</v>
      </c>
      <c r="W225" s="50">
        <v>49</v>
      </c>
      <c r="X225" s="50">
        <v>405</v>
      </c>
      <c r="Y225" s="50">
        <v>9.32</v>
      </c>
      <c r="Z225" s="50">
        <v>30.3</v>
      </c>
      <c r="AA225" s="50">
        <v>6.98</v>
      </c>
      <c r="AB225" s="50"/>
      <c r="AC225" s="50"/>
      <c r="AD225" s="50"/>
      <c r="AE225" s="50"/>
      <c r="AF225" s="50"/>
      <c r="AG225" s="50"/>
      <c r="AH225" s="50"/>
      <c r="AI225" s="50"/>
      <c r="AJ225" s="50"/>
    </row>
    <row r="226" spans="1:36" ht="15" customHeight="1" x14ac:dyDescent="0.25">
      <c r="A226" s="50">
        <v>45</v>
      </c>
      <c r="B226" s="50" t="s">
        <v>924</v>
      </c>
      <c r="C226" s="50" t="s">
        <v>1352</v>
      </c>
      <c r="D226" s="50">
        <v>27</v>
      </c>
      <c r="E226" s="50" t="s">
        <v>1359</v>
      </c>
      <c r="F226" s="50">
        <v>21</v>
      </c>
      <c r="G226" s="50">
        <v>3</v>
      </c>
      <c r="H226" s="50">
        <v>36</v>
      </c>
      <c r="I226" s="50">
        <v>1.37</v>
      </c>
      <c r="J226" s="50">
        <v>134</v>
      </c>
      <c r="K226" s="50">
        <v>58</v>
      </c>
      <c r="L226" s="50">
        <v>3.16</v>
      </c>
      <c r="M226" s="50">
        <v>2.86</v>
      </c>
      <c r="N226" s="50">
        <v>28</v>
      </c>
      <c r="O226" s="50">
        <v>7.8</v>
      </c>
      <c r="P226" s="50">
        <v>10.7</v>
      </c>
      <c r="Q226" s="50">
        <v>30.7</v>
      </c>
      <c r="R226" s="50">
        <v>64.900000000000006</v>
      </c>
      <c r="S226" s="50">
        <v>37.5</v>
      </c>
      <c r="T226" s="50">
        <v>51</v>
      </c>
      <c r="U226" s="50">
        <v>7.6</v>
      </c>
      <c r="V226" s="50">
        <v>69.2</v>
      </c>
      <c r="W226" s="50">
        <v>58</v>
      </c>
      <c r="X226" s="50">
        <v>466</v>
      </c>
      <c r="Y226" s="50">
        <v>8.44</v>
      </c>
      <c r="Z226" s="50">
        <v>36</v>
      </c>
      <c r="AA226" s="50">
        <v>7.19</v>
      </c>
      <c r="AB226" s="50"/>
      <c r="AC226" s="50"/>
      <c r="AD226" s="50"/>
      <c r="AE226" s="50"/>
      <c r="AF226" s="50"/>
      <c r="AG226" s="50"/>
      <c r="AH226" s="50"/>
      <c r="AI226" s="50"/>
      <c r="AJ226" s="50"/>
    </row>
    <row r="227" spans="1:36" ht="15" customHeight="1" x14ac:dyDescent="0.25">
      <c r="A227" s="50">
        <v>46</v>
      </c>
      <c r="B227" s="50" t="s">
        <v>924</v>
      </c>
      <c r="C227" s="50" t="s">
        <v>1352</v>
      </c>
      <c r="D227" s="50">
        <v>42</v>
      </c>
      <c r="E227" s="50" t="s">
        <v>1360</v>
      </c>
      <c r="F227" s="50">
        <v>0</v>
      </c>
      <c r="G227" s="50">
        <v>6.7</v>
      </c>
      <c r="H227" s="50">
        <v>49</v>
      </c>
      <c r="I227" s="50">
        <v>3.53</v>
      </c>
      <c r="J227" s="50">
        <v>86</v>
      </c>
      <c r="K227" s="50">
        <v>100</v>
      </c>
      <c r="L227" s="50">
        <v>7.42</v>
      </c>
      <c r="M227" s="50">
        <v>6.06</v>
      </c>
      <c r="N227" s="50">
        <v>60</v>
      </c>
      <c r="O227" s="50">
        <v>13.7</v>
      </c>
      <c r="P227" s="50">
        <v>7.4</v>
      </c>
      <c r="Q227" s="50">
        <v>56.9</v>
      </c>
      <c r="R227" s="50">
        <v>40.4</v>
      </c>
      <c r="S227" s="50">
        <v>12.7</v>
      </c>
      <c r="T227" s="50">
        <v>29</v>
      </c>
      <c r="U227" s="50">
        <v>8.33</v>
      </c>
      <c r="V227" s="50">
        <v>54.3</v>
      </c>
      <c r="W227" s="50">
        <v>39</v>
      </c>
      <c r="X227" s="50">
        <v>331</v>
      </c>
      <c r="Y227" s="50">
        <v>11.7</v>
      </c>
      <c r="Z227" s="50">
        <v>23.3</v>
      </c>
      <c r="AA227" s="50">
        <v>6</v>
      </c>
      <c r="AB227" s="50"/>
      <c r="AC227" s="50"/>
      <c r="AD227" s="50"/>
      <c r="AE227" s="50"/>
      <c r="AF227" s="50"/>
      <c r="AG227" s="50"/>
      <c r="AH227" s="50"/>
      <c r="AI227" s="50"/>
      <c r="AJ227" s="50"/>
    </row>
    <row r="228" spans="1:36" ht="15" customHeight="1" x14ac:dyDescent="0.25">
      <c r="A228" s="50">
        <v>46</v>
      </c>
      <c r="B228" s="50" t="s">
        <v>924</v>
      </c>
      <c r="C228" s="50" t="s">
        <v>1352</v>
      </c>
      <c r="D228" s="50">
        <v>42</v>
      </c>
      <c r="E228" s="50" t="s">
        <v>1360</v>
      </c>
      <c r="F228" s="50">
        <v>4</v>
      </c>
      <c r="G228" s="50">
        <v>5.8</v>
      </c>
      <c r="H228" s="50">
        <v>47</v>
      </c>
      <c r="I228" s="50">
        <v>3.25</v>
      </c>
      <c r="J228" s="50">
        <v>93</v>
      </c>
      <c r="K228" s="50">
        <v>92</v>
      </c>
      <c r="L228" s="50">
        <v>6.21</v>
      </c>
      <c r="M228" s="50">
        <v>5.71</v>
      </c>
      <c r="N228" s="50">
        <v>53</v>
      </c>
      <c r="O228" s="50">
        <v>12.1</v>
      </c>
      <c r="P228" s="50">
        <v>7.2</v>
      </c>
      <c r="Q228" s="50">
        <v>50.9</v>
      </c>
      <c r="R228" s="50">
        <v>45.7</v>
      </c>
      <c r="S228" s="50">
        <v>19</v>
      </c>
      <c r="T228" s="50">
        <v>37</v>
      </c>
      <c r="U228" s="50">
        <v>7.87</v>
      </c>
      <c r="V228" s="50">
        <v>56.8</v>
      </c>
      <c r="W228" s="50">
        <v>46</v>
      </c>
      <c r="X228" s="50">
        <v>379</v>
      </c>
      <c r="Y228" s="50">
        <v>11</v>
      </c>
      <c r="Z228" s="50">
        <v>26.8</v>
      </c>
      <c r="AA228" s="50">
        <v>5.89</v>
      </c>
      <c r="AB228" s="50"/>
      <c r="AC228" s="50"/>
      <c r="AD228" s="50"/>
      <c r="AE228" s="50"/>
      <c r="AF228" s="50"/>
      <c r="AG228" s="50"/>
      <c r="AH228" s="50"/>
      <c r="AI228" s="50"/>
      <c r="AJ228" s="50"/>
    </row>
    <row r="229" spans="1:36" ht="15" customHeight="1" x14ac:dyDescent="0.25">
      <c r="A229" s="50">
        <v>46</v>
      </c>
      <c r="B229" s="50" t="s">
        <v>924</v>
      </c>
      <c r="C229" s="50" t="s">
        <v>1352</v>
      </c>
      <c r="D229" s="50">
        <v>42</v>
      </c>
      <c r="E229" s="50" t="s">
        <v>1360</v>
      </c>
      <c r="F229" s="50">
        <v>8</v>
      </c>
      <c r="G229" s="50">
        <v>5.3</v>
      </c>
      <c r="H229" s="50">
        <v>42</v>
      </c>
      <c r="I229" s="50">
        <v>2.86</v>
      </c>
      <c r="J229" s="50">
        <v>95</v>
      </c>
      <c r="K229" s="50">
        <v>84</v>
      </c>
      <c r="L229" s="50">
        <v>5.94</v>
      </c>
      <c r="M229" s="50">
        <v>5.12</v>
      </c>
      <c r="N229" s="50">
        <v>49</v>
      </c>
      <c r="O229" s="50">
        <v>12.2</v>
      </c>
      <c r="P229" s="50">
        <v>7.7</v>
      </c>
      <c r="Q229" s="50">
        <v>44.6</v>
      </c>
      <c r="R229" s="50">
        <v>45.9</v>
      </c>
      <c r="S229" s="50">
        <v>20.7</v>
      </c>
      <c r="T229" s="50">
        <v>42</v>
      </c>
      <c r="U229" s="50">
        <v>7.23</v>
      </c>
      <c r="V229" s="50">
        <v>59</v>
      </c>
      <c r="W229" s="50">
        <v>46</v>
      </c>
      <c r="X229" s="50">
        <v>419</v>
      </c>
      <c r="Y229" s="50">
        <v>11.08</v>
      </c>
      <c r="Z229" s="50">
        <v>28.3</v>
      </c>
      <c r="AA229" s="50">
        <v>6.24</v>
      </c>
      <c r="AB229" s="50"/>
      <c r="AC229" s="50"/>
      <c r="AD229" s="50"/>
      <c r="AE229" s="50"/>
      <c r="AF229" s="50"/>
      <c r="AG229" s="50"/>
      <c r="AH229" s="50"/>
      <c r="AI229" s="50"/>
      <c r="AJ229" s="50"/>
    </row>
    <row r="230" spans="1:36" ht="15" customHeight="1" x14ac:dyDescent="0.25">
      <c r="A230" s="50">
        <v>46</v>
      </c>
      <c r="B230" s="50" t="s">
        <v>924</v>
      </c>
      <c r="C230" s="50" t="s">
        <v>1352</v>
      </c>
      <c r="D230" s="50">
        <v>42</v>
      </c>
      <c r="E230" s="50" t="s">
        <v>1360</v>
      </c>
      <c r="F230" s="50">
        <v>12</v>
      </c>
      <c r="G230" s="50">
        <v>4.5</v>
      </c>
      <c r="H230" s="50">
        <v>41</v>
      </c>
      <c r="I230" s="50">
        <v>2.66</v>
      </c>
      <c r="J230" s="50">
        <v>101</v>
      </c>
      <c r="K230" s="50">
        <v>76</v>
      </c>
      <c r="L230" s="50">
        <v>4.88</v>
      </c>
      <c r="M230" s="50">
        <v>4.43</v>
      </c>
      <c r="N230" s="50">
        <v>45</v>
      </c>
      <c r="O230" s="50">
        <v>10.4</v>
      </c>
      <c r="P230" s="50">
        <v>7.6</v>
      </c>
      <c r="Q230" s="50">
        <v>38.299999999999997</v>
      </c>
      <c r="R230" s="50">
        <v>51.4</v>
      </c>
      <c r="S230" s="50">
        <v>22.5</v>
      </c>
      <c r="T230" s="50">
        <v>51</v>
      </c>
      <c r="U230" s="50">
        <v>6.64</v>
      </c>
      <c r="V230" s="50">
        <v>60.5</v>
      </c>
      <c r="W230" s="50">
        <v>55</v>
      </c>
      <c r="X230" s="50">
        <v>436</v>
      </c>
      <c r="Y230" s="50">
        <v>10.77</v>
      </c>
      <c r="Z230" s="50">
        <v>29.9</v>
      </c>
      <c r="AA230" s="50">
        <v>6.25</v>
      </c>
      <c r="AB230" s="50"/>
      <c r="AC230" s="50"/>
      <c r="AD230" s="50"/>
      <c r="AE230" s="50"/>
      <c r="AF230" s="50"/>
      <c r="AG230" s="50"/>
      <c r="AH230" s="50"/>
      <c r="AI230" s="50"/>
      <c r="AJ230" s="50"/>
    </row>
    <row r="231" spans="1:36" ht="15" customHeight="1" x14ac:dyDescent="0.25">
      <c r="A231" s="50">
        <v>46</v>
      </c>
      <c r="B231" s="50" t="s">
        <v>924</v>
      </c>
      <c r="C231" s="50" t="s">
        <v>1352</v>
      </c>
      <c r="D231" s="50">
        <v>42</v>
      </c>
      <c r="E231" s="50" t="s">
        <v>1360</v>
      </c>
      <c r="F231" s="50">
        <v>21</v>
      </c>
      <c r="G231" s="50">
        <v>3.1</v>
      </c>
      <c r="H231" s="50">
        <v>32</v>
      </c>
      <c r="I231" s="50">
        <v>1.95</v>
      </c>
      <c r="J231" s="50">
        <v>110</v>
      </c>
      <c r="K231" s="50">
        <v>58</v>
      </c>
      <c r="L231" s="50">
        <v>3.42</v>
      </c>
      <c r="M231" s="50">
        <v>3.17</v>
      </c>
      <c r="N231" s="50">
        <v>37</v>
      </c>
      <c r="O231" s="50">
        <v>8</v>
      </c>
      <c r="P231" s="50">
        <v>7</v>
      </c>
      <c r="Q231" s="50">
        <v>29.3</v>
      </c>
      <c r="R231" s="50">
        <v>64.2</v>
      </c>
      <c r="S231" s="50">
        <v>29.1</v>
      </c>
      <c r="T231" s="50">
        <v>65</v>
      </c>
      <c r="U231" s="50">
        <v>7.04</v>
      </c>
      <c r="V231" s="50">
        <v>66.900000000000006</v>
      </c>
      <c r="W231" s="50">
        <v>61</v>
      </c>
      <c r="X231" s="50">
        <v>504</v>
      </c>
      <c r="Y231" s="50">
        <v>8.9700000000000006</v>
      </c>
      <c r="Z231" s="50">
        <v>34</v>
      </c>
      <c r="AA231" s="50">
        <v>6.65</v>
      </c>
      <c r="AB231" s="50"/>
      <c r="AC231" s="50"/>
      <c r="AD231" s="50"/>
      <c r="AE231" s="50"/>
      <c r="AF231" s="50"/>
      <c r="AG231" s="50"/>
      <c r="AH231" s="50"/>
      <c r="AI231" s="50"/>
      <c r="AJ231" s="50"/>
    </row>
    <row r="232" spans="1:36" ht="15" customHeight="1" x14ac:dyDescent="0.25">
      <c r="A232" s="50">
        <v>47</v>
      </c>
      <c r="B232" s="50" t="s">
        <v>924</v>
      </c>
      <c r="C232" s="50" t="s">
        <v>1352</v>
      </c>
      <c r="D232" s="50">
        <v>40</v>
      </c>
      <c r="E232" s="50" t="s">
        <v>1353</v>
      </c>
      <c r="F232" s="50">
        <v>0</v>
      </c>
      <c r="G232" s="50">
        <v>6.9</v>
      </c>
      <c r="H232" s="50">
        <v>66</v>
      </c>
      <c r="I232" s="50">
        <v>3.66</v>
      </c>
      <c r="J232" s="50">
        <v>105</v>
      </c>
      <c r="K232" s="50">
        <v>100</v>
      </c>
      <c r="L232" s="50">
        <v>6.94</v>
      </c>
      <c r="M232" s="50">
        <v>6.85</v>
      </c>
      <c r="N232" s="50">
        <v>35</v>
      </c>
      <c r="O232" s="50">
        <v>11.2</v>
      </c>
      <c r="P232" s="50">
        <v>7.4</v>
      </c>
      <c r="Q232" s="50">
        <v>59</v>
      </c>
      <c r="R232" s="50">
        <v>37.4</v>
      </c>
      <c r="S232" s="50">
        <v>31.5</v>
      </c>
      <c r="T232" s="50">
        <v>45</v>
      </c>
      <c r="U232" s="50">
        <v>7.31</v>
      </c>
      <c r="V232" s="50">
        <v>57.4</v>
      </c>
      <c r="W232" s="50">
        <v>53</v>
      </c>
      <c r="X232" s="50">
        <v>402</v>
      </c>
      <c r="Y232" s="50">
        <v>14</v>
      </c>
      <c r="Z232" s="50">
        <v>28.4</v>
      </c>
      <c r="AA232" s="50">
        <v>4.03</v>
      </c>
      <c r="AB232" s="50"/>
      <c r="AC232" s="50"/>
      <c r="AD232" s="50"/>
      <c r="AE232" s="50"/>
      <c r="AF232" s="50"/>
      <c r="AG232" s="50"/>
      <c r="AH232" s="50"/>
      <c r="AI232" s="50"/>
      <c r="AJ232" s="50"/>
    </row>
    <row r="233" spans="1:36" ht="15" customHeight="1" x14ac:dyDescent="0.25">
      <c r="A233" s="50">
        <v>47</v>
      </c>
      <c r="B233" s="50" t="s">
        <v>924</v>
      </c>
      <c r="C233" s="50" t="s">
        <v>1352</v>
      </c>
      <c r="D233" s="50">
        <v>40</v>
      </c>
      <c r="E233" s="50" t="s">
        <v>1353</v>
      </c>
      <c r="F233" s="50">
        <v>4</v>
      </c>
      <c r="G233" s="50">
        <v>6</v>
      </c>
      <c r="H233" s="50">
        <v>61</v>
      </c>
      <c r="I233" s="50">
        <v>3.4</v>
      </c>
      <c r="J233" s="50">
        <v>112</v>
      </c>
      <c r="K233" s="50">
        <v>92</v>
      </c>
      <c r="L233" s="50">
        <v>6.02</v>
      </c>
      <c r="M233" s="50">
        <v>6.04</v>
      </c>
      <c r="N233" s="50">
        <v>32</v>
      </c>
      <c r="O233" s="50">
        <v>11.2</v>
      </c>
      <c r="P233" s="50">
        <v>6.9</v>
      </c>
      <c r="Q233" s="50">
        <v>52.5</v>
      </c>
      <c r="R233" s="50">
        <v>39.9</v>
      </c>
      <c r="S233" s="50">
        <v>32.6</v>
      </c>
      <c r="T233" s="50">
        <v>51</v>
      </c>
      <c r="U233" s="50">
        <v>7.62</v>
      </c>
      <c r="V233" s="50">
        <v>61</v>
      </c>
      <c r="W233" s="50">
        <v>57</v>
      </c>
      <c r="X233" s="50">
        <v>414</v>
      </c>
      <c r="Y233" s="50">
        <v>12.6</v>
      </c>
      <c r="Z233" s="50">
        <v>29.9</v>
      </c>
      <c r="AA233" s="50">
        <v>4.5999999999999996</v>
      </c>
      <c r="AB233" s="50"/>
      <c r="AC233" s="50"/>
      <c r="AD233" s="50"/>
      <c r="AE233" s="50"/>
      <c r="AF233" s="50"/>
      <c r="AG233" s="50"/>
      <c r="AH233" s="50"/>
      <c r="AI233" s="50"/>
      <c r="AJ233" s="50"/>
    </row>
    <row r="234" spans="1:36" ht="15" customHeight="1" x14ac:dyDescent="0.25">
      <c r="A234" s="50">
        <v>47</v>
      </c>
      <c r="B234" s="50" t="s">
        <v>924</v>
      </c>
      <c r="C234" s="50" t="s">
        <v>1352</v>
      </c>
      <c r="D234" s="50">
        <v>40</v>
      </c>
      <c r="E234" s="50" t="s">
        <v>1353</v>
      </c>
      <c r="F234" s="50">
        <v>8</v>
      </c>
      <c r="G234" s="50">
        <v>5.2</v>
      </c>
      <c r="H234" s="50">
        <v>60</v>
      </c>
      <c r="I234" s="50">
        <v>3.1</v>
      </c>
      <c r="J234" s="50">
        <v>115</v>
      </c>
      <c r="K234" s="50">
        <v>84</v>
      </c>
      <c r="L234" s="50">
        <v>5.32</v>
      </c>
      <c r="M234" s="50">
        <v>5.47</v>
      </c>
      <c r="N234" s="50">
        <v>28</v>
      </c>
      <c r="O234" s="50">
        <v>10.1</v>
      </c>
      <c r="P234" s="50">
        <v>7.8</v>
      </c>
      <c r="Q234" s="50">
        <v>50.6</v>
      </c>
      <c r="R234" s="50">
        <v>49.5</v>
      </c>
      <c r="S234" s="50">
        <v>35</v>
      </c>
      <c r="T234" s="50">
        <v>51</v>
      </c>
      <c r="U234" s="50">
        <v>6.62</v>
      </c>
      <c r="V234" s="50">
        <v>63.9</v>
      </c>
      <c r="W234" s="50">
        <v>61</v>
      </c>
      <c r="X234" s="50">
        <v>426</v>
      </c>
      <c r="Y234" s="50">
        <v>12.3</v>
      </c>
      <c r="Z234" s="50">
        <v>31.3</v>
      </c>
      <c r="AA234" s="50">
        <v>4.8499999999999996</v>
      </c>
      <c r="AB234" s="50"/>
      <c r="AC234" s="50"/>
      <c r="AD234" s="50"/>
      <c r="AE234" s="50"/>
      <c r="AF234" s="50"/>
      <c r="AG234" s="50"/>
      <c r="AH234" s="50"/>
      <c r="AI234" s="50"/>
      <c r="AJ234" s="50"/>
    </row>
    <row r="235" spans="1:36" ht="15" customHeight="1" x14ac:dyDescent="0.25">
      <c r="A235" s="50">
        <v>47</v>
      </c>
      <c r="B235" s="50" t="s">
        <v>924</v>
      </c>
      <c r="C235" s="50" t="s">
        <v>1352</v>
      </c>
      <c r="D235" s="50">
        <v>40</v>
      </c>
      <c r="E235" s="50" t="s">
        <v>1353</v>
      </c>
      <c r="F235" s="50">
        <v>12</v>
      </c>
      <c r="G235" s="50">
        <v>4.7</v>
      </c>
      <c r="H235" s="50">
        <v>56</v>
      </c>
      <c r="I235" s="50">
        <v>2.68</v>
      </c>
      <c r="J235" s="50">
        <v>117</v>
      </c>
      <c r="K235" s="50">
        <v>76</v>
      </c>
      <c r="L235" s="50">
        <v>4.5</v>
      </c>
      <c r="M235" s="50">
        <v>4.95</v>
      </c>
      <c r="N235" s="50">
        <v>29</v>
      </c>
      <c r="O235" s="50">
        <v>10.4</v>
      </c>
      <c r="P235" s="50">
        <v>6.9</v>
      </c>
      <c r="Q235" s="50">
        <v>42.5</v>
      </c>
      <c r="R235" s="50">
        <v>51.8</v>
      </c>
      <c r="S235" s="50">
        <v>35.5</v>
      </c>
      <c r="T235" s="50">
        <v>56</v>
      </c>
      <c r="U235" s="50">
        <v>6.53</v>
      </c>
      <c r="V235" s="50">
        <v>64.599999999999994</v>
      </c>
      <c r="W235" s="50">
        <v>64</v>
      </c>
      <c r="X235" s="50">
        <v>463</v>
      </c>
      <c r="Y235" s="50">
        <v>11.45</v>
      </c>
      <c r="Z235" s="50">
        <v>30.7</v>
      </c>
      <c r="AA235" s="50">
        <v>5.42</v>
      </c>
      <c r="AB235" s="50"/>
      <c r="AC235" s="50"/>
      <c r="AD235" s="50"/>
      <c r="AE235" s="50"/>
      <c r="AF235" s="50"/>
      <c r="AG235" s="50"/>
      <c r="AH235" s="50"/>
      <c r="AI235" s="50"/>
      <c r="AJ235" s="50"/>
    </row>
    <row r="236" spans="1:36" ht="15" customHeight="1" x14ac:dyDescent="0.25">
      <c r="A236" s="50">
        <v>47</v>
      </c>
      <c r="B236" s="50" t="s">
        <v>924</v>
      </c>
      <c r="C236" s="50" t="s">
        <v>1352</v>
      </c>
      <c r="D236" s="50">
        <v>40</v>
      </c>
      <c r="E236" s="50" t="s">
        <v>1353</v>
      </c>
      <c r="F236" s="50">
        <v>21</v>
      </c>
      <c r="G236" s="50">
        <v>2.9</v>
      </c>
      <c r="H236" s="50">
        <v>49</v>
      </c>
      <c r="I236" s="50">
        <v>2.06</v>
      </c>
      <c r="J236" s="50">
        <v>125</v>
      </c>
      <c r="K236" s="50">
        <v>58</v>
      </c>
      <c r="L236" s="50">
        <v>2.8</v>
      </c>
      <c r="M236" s="50">
        <v>3.32</v>
      </c>
      <c r="N236" s="50">
        <v>21</v>
      </c>
      <c r="O236" s="50">
        <v>9</v>
      </c>
      <c r="P236" s="50">
        <v>7.2</v>
      </c>
      <c r="Q236" s="50">
        <v>31.6</v>
      </c>
      <c r="R236" s="50">
        <v>61.3</v>
      </c>
      <c r="S236" s="50">
        <v>39.5</v>
      </c>
      <c r="T236" s="50">
        <v>66</v>
      </c>
      <c r="U236" s="50">
        <v>5.1100000000000003</v>
      </c>
      <c r="V236" s="50">
        <v>67</v>
      </c>
      <c r="W236" s="50">
        <v>72</v>
      </c>
      <c r="X236" s="50">
        <v>502</v>
      </c>
      <c r="Y236" s="50">
        <v>9.7799999999999994</v>
      </c>
      <c r="Z236" s="50">
        <v>35.9</v>
      </c>
      <c r="AA236" s="50">
        <v>6.66</v>
      </c>
      <c r="AB236" s="50"/>
      <c r="AC236" s="50"/>
      <c r="AD236" s="50"/>
      <c r="AE236" s="50"/>
      <c r="AF236" s="50"/>
      <c r="AG236" s="50"/>
      <c r="AH236" s="50"/>
      <c r="AI236" s="50"/>
      <c r="AJ236" s="50"/>
    </row>
    <row r="237" spans="1:36" ht="15" customHeight="1" x14ac:dyDescent="0.25">
      <c r="A237" s="50">
        <v>48</v>
      </c>
      <c r="B237" s="50" t="s">
        <v>924</v>
      </c>
      <c r="C237" s="50" t="s">
        <v>1352</v>
      </c>
      <c r="D237" s="50">
        <v>40</v>
      </c>
      <c r="E237" s="50" t="s">
        <v>1353</v>
      </c>
      <c r="F237" s="50">
        <v>0</v>
      </c>
      <c r="G237" s="50">
        <v>7.4</v>
      </c>
      <c r="H237" s="50">
        <v>67</v>
      </c>
      <c r="I237" s="50">
        <v>3.18</v>
      </c>
      <c r="J237" s="50">
        <v>85</v>
      </c>
      <c r="K237" s="50">
        <v>100</v>
      </c>
      <c r="L237" s="50">
        <v>8.1999999999999993</v>
      </c>
      <c r="M237" s="50">
        <v>6.93</v>
      </c>
      <c r="N237" s="50">
        <v>31</v>
      </c>
      <c r="O237" s="50">
        <v>14.2</v>
      </c>
      <c r="P237" s="50">
        <v>12.2</v>
      </c>
      <c r="Q237" s="50">
        <v>35.6</v>
      </c>
      <c r="R237" s="50">
        <v>38.799999999999997</v>
      </c>
      <c r="S237" s="50">
        <v>13</v>
      </c>
      <c r="T237" s="50">
        <v>41</v>
      </c>
      <c r="U237" s="50">
        <v>8.48</v>
      </c>
      <c r="V237" s="50">
        <v>52.8</v>
      </c>
      <c r="W237" s="50">
        <v>45</v>
      </c>
      <c r="X237" s="50">
        <v>382</v>
      </c>
      <c r="Y237" s="50">
        <v>9.69</v>
      </c>
      <c r="Z237" s="50">
        <v>20.100000000000001</v>
      </c>
      <c r="AA237" s="50">
        <v>5.66</v>
      </c>
      <c r="AB237" s="50"/>
      <c r="AC237" s="50"/>
      <c r="AD237" s="50"/>
      <c r="AE237" s="50"/>
      <c r="AF237" s="50"/>
      <c r="AG237" s="50"/>
      <c r="AH237" s="50"/>
      <c r="AI237" s="50"/>
      <c r="AJ237" s="50"/>
    </row>
    <row r="238" spans="1:36" ht="15" customHeight="1" x14ac:dyDescent="0.25">
      <c r="A238" s="50">
        <v>48</v>
      </c>
      <c r="B238" s="50" t="s">
        <v>924</v>
      </c>
      <c r="C238" s="50" t="s">
        <v>1352</v>
      </c>
      <c r="D238" s="50">
        <v>40</v>
      </c>
      <c r="E238" s="50" t="s">
        <v>1353</v>
      </c>
      <c r="F238" s="50">
        <v>4</v>
      </c>
      <c r="G238" s="50">
        <v>6.9</v>
      </c>
      <c r="H238" s="50">
        <v>60</v>
      </c>
      <c r="I238" s="50">
        <v>2.97</v>
      </c>
      <c r="J238" s="50">
        <v>90</v>
      </c>
      <c r="K238" s="50">
        <v>92</v>
      </c>
      <c r="L238" s="50">
        <v>7.43</v>
      </c>
      <c r="M238" s="50">
        <v>6.39</v>
      </c>
      <c r="N238" s="50">
        <v>32</v>
      </c>
      <c r="O238" s="50">
        <v>13.3</v>
      </c>
      <c r="P238" s="50">
        <v>12.2</v>
      </c>
      <c r="Q238" s="50">
        <v>33.6</v>
      </c>
      <c r="R238" s="50">
        <v>41.2</v>
      </c>
      <c r="S238" s="50">
        <v>15.5</v>
      </c>
      <c r="T238" s="50">
        <v>41</v>
      </c>
      <c r="U238" s="50">
        <v>9.2200000000000006</v>
      </c>
      <c r="V238" s="50">
        <v>54.9</v>
      </c>
      <c r="W238" s="50">
        <v>44</v>
      </c>
      <c r="X238" s="50">
        <v>381</v>
      </c>
      <c r="Y238" s="50">
        <v>9.86</v>
      </c>
      <c r="Z238" s="50">
        <v>22.9</v>
      </c>
      <c r="AA238" s="50">
        <v>5.88</v>
      </c>
      <c r="AB238" s="50"/>
      <c r="AC238" s="50"/>
      <c r="AD238" s="50"/>
      <c r="AE238" s="50"/>
      <c r="AF238" s="50"/>
      <c r="AG238" s="50"/>
      <c r="AH238" s="50"/>
      <c r="AI238" s="50"/>
      <c r="AJ238" s="50"/>
    </row>
    <row r="239" spans="1:36" ht="15" customHeight="1" x14ac:dyDescent="0.25">
      <c r="A239" s="50">
        <v>48</v>
      </c>
      <c r="B239" s="50" t="s">
        <v>924</v>
      </c>
      <c r="C239" s="50" t="s">
        <v>1352</v>
      </c>
      <c r="D239" s="50">
        <v>40</v>
      </c>
      <c r="E239" s="50" t="s">
        <v>1353</v>
      </c>
      <c r="F239" s="50">
        <v>8</v>
      </c>
      <c r="G239" s="50">
        <v>5.8</v>
      </c>
      <c r="H239" s="50">
        <v>57</v>
      </c>
      <c r="I239" s="50">
        <v>2.63</v>
      </c>
      <c r="J239" s="50">
        <v>89</v>
      </c>
      <c r="K239" s="50">
        <v>84</v>
      </c>
      <c r="L239" s="50">
        <v>6.52</v>
      </c>
      <c r="M239" s="50">
        <v>5.29</v>
      </c>
      <c r="N239" s="50">
        <v>31</v>
      </c>
      <c r="O239" s="50">
        <v>12.3</v>
      </c>
      <c r="P239" s="50">
        <v>11.8</v>
      </c>
      <c r="Q239" s="50">
        <v>33.700000000000003</v>
      </c>
      <c r="R239" s="50">
        <v>47.6</v>
      </c>
      <c r="S239" s="50">
        <v>23</v>
      </c>
      <c r="T239" s="50">
        <v>50</v>
      </c>
      <c r="U239" s="50">
        <v>7.76</v>
      </c>
      <c r="V239" s="50">
        <v>58.6</v>
      </c>
      <c r="W239" s="50">
        <v>52</v>
      </c>
      <c r="X239" s="50">
        <v>417</v>
      </c>
      <c r="Y239" s="50">
        <v>9.66</v>
      </c>
      <c r="Z239" s="50">
        <v>25.8</v>
      </c>
      <c r="AA239" s="50">
        <v>6.16</v>
      </c>
      <c r="AB239" s="50"/>
      <c r="AC239" s="50"/>
      <c r="AD239" s="50"/>
      <c r="AE239" s="50"/>
      <c r="AF239" s="50"/>
      <c r="AG239" s="50"/>
      <c r="AH239" s="50"/>
      <c r="AI239" s="50"/>
      <c r="AJ239" s="50"/>
    </row>
    <row r="240" spans="1:36" ht="15" customHeight="1" x14ac:dyDescent="0.25">
      <c r="A240" s="50">
        <v>48</v>
      </c>
      <c r="B240" s="50" t="s">
        <v>924</v>
      </c>
      <c r="C240" s="50" t="s">
        <v>1352</v>
      </c>
      <c r="D240" s="50">
        <v>40</v>
      </c>
      <c r="E240" s="50" t="s">
        <v>1353</v>
      </c>
      <c r="F240" s="50">
        <v>12</v>
      </c>
      <c r="G240" s="50">
        <v>5</v>
      </c>
      <c r="H240" s="50">
        <v>53</v>
      </c>
      <c r="I240" s="50">
        <v>2.38</v>
      </c>
      <c r="J240" s="50">
        <v>94</v>
      </c>
      <c r="K240" s="50">
        <v>76</v>
      </c>
      <c r="L240" s="50">
        <v>5.36</v>
      </c>
      <c r="M240" s="50">
        <v>5.0599999999999996</v>
      </c>
      <c r="N240" s="50">
        <v>28</v>
      </c>
      <c r="O240" s="50">
        <v>11.9</v>
      </c>
      <c r="P240" s="50">
        <v>10.199999999999999</v>
      </c>
      <c r="Q240" s="50">
        <v>27.4</v>
      </c>
      <c r="R240" s="50">
        <v>49.3</v>
      </c>
      <c r="S240" s="50">
        <v>27.6</v>
      </c>
      <c r="T240" s="50">
        <v>51</v>
      </c>
      <c r="U240" s="50">
        <v>6.68</v>
      </c>
      <c r="V240" s="50">
        <v>60.4</v>
      </c>
      <c r="W240" s="50">
        <v>52</v>
      </c>
      <c r="X240" s="50">
        <v>421</v>
      </c>
      <c r="Y240" s="50">
        <v>9.1</v>
      </c>
      <c r="Z240" s="50">
        <v>26.5</v>
      </c>
      <c r="AA240" s="50">
        <v>6.14</v>
      </c>
      <c r="AB240" s="50"/>
      <c r="AC240" s="50"/>
      <c r="AD240" s="50"/>
      <c r="AE240" s="50"/>
      <c r="AF240" s="50"/>
      <c r="AG240" s="50"/>
      <c r="AH240" s="50"/>
      <c r="AI240" s="50"/>
      <c r="AJ240" s="50"/>
    </row>
    <row r="241" spans="1:36" ht="15" customHeight="1" x14ac:dyDescent="0.25">
      <c r="A241" s="50">
        <v>48</v>
      </c>
      <c r="B241" s="50" t="s">
        <v>924</v>
      </c>
      <c r="C241" s="50" t="s">
        <v>1352</v>
      </c>
      <c r="D241" s="50">
        <v>40</v>
      </c>
      <c r="E241" s="50" t="s">
        <v>1353</v>
      </c>
      <c r="F241" s="50">
        <v>21</v>
      </c>
      <c r="G241" s="50">
        <v>3.4</v>
      </c>
      <c r="H241" s="50">
        <v>45</v>
      </c>
      <c r="I241" s="50">
        <v>1.76</v>
      </c>
      <c r="J241" s="50">
        <v>107</v>
      </c>
      <c r="K241" s="50">
        <v>58</v>
      </c>
      <c r="L241" s="50">
        <v>3.5</v>
      </c>
      <c r="M241" s="50">
        <v>3.87</v>
      </c>
      <c r="N241" s="50">
        <v>24</v>
      </c>
      <c r="O241" s="50">
        <v>9.6</v>
      </c>
      <c r="P241" s="50">
        <v>8.5</v>
      </c>
      <c r="Q241" s="50">
        <v>30.8</v>
      </c>
      <c r="R241" s="50">
        <v>58.7</v>
      </c>
      <c r="S241" s="50">
        <v>38.5</v>
      </c>
      <c r="T241" s="50">
        <v>60</v>
      </c>
      <c r="U241" s="50">
        <v>6.24</v>
      </c>
      <c r="V241" s="50">
        <v>68.900000000000006</v>
      </c>
      <c r="W241" s="50">
        <v>60</v>
      </c>
      <c r="X241" s="50">
        <v>438</v>
      </c>
      <c r="Y241" s="50">
        <v>9.74</v>
      </c>
      <c r="Z241" s="50">
        <v>34.299999999999997</v>
      </c>
      <c r="AA241" s="50">
        <v>6.39</v>
      </c>
      <c r="AB241" s="50"/>
      <c r="AC241" s="50"/>
      <c r="AD241" s="50"/>
      <c r="AE241" s="50"/>
      <c r="AF241" s="50"/>
      <c r="AG241" s="50"/>
      <c r="AH241" s="50"/>
      <c r="AI241" s="50"/>
      <c r="AJ241" s="50"/>
    </row>
    <row r="242" spans="1:36" ht="15" customHeight="1" x14ac:dyDescent="0.25">
      <c r="A242" s="50">
        <v>49</v>
      </c>
      <c r="B242" s="50" t="s">
        <v>924</v>
      </c>
      <c r="C242" s="50" t="s">
        <v>1352</v>
      </c>
      <c r="D242" s="50">
        <v>28</v>
      </c>
      <c r="E242" s="50" t="s">
        <v>1355</v>
      </c>
      <c r="F242" s="50">
        <v>0</v>
      </c>
      <c r="G242" s="50">
        <v>6.2</v>
      </c>
      <c r="H242" s="50">
        <v>44</v>
      </c>
      <c r="I242" s="50">
        <v>3.25</v>
      </c>
      <c r="J242" s="50">
        <v>75</v>
      </c>
      <c r="K242" s="50">
        <v>100</v>
      </c>
      <c r="L242" s="50">
        <v>6.24</v>
      </c>
      <c r="M242" s="50">
        <v>5.63</v>
      </c>
      <c r="N242" s="50">
        <v>55</v>
      </c>
      <c r="O242" s="50">
        <v>12.9</v>
      </c>
      <c r="P242" s="50">
        <v>12.1</v>
      </c>
      <c r="Q242" s="50">
        <v>34.700000000000003</v>
      </c>
      <c r="R242" s="50">
        <v>38.4</v>
      </c>
      <c r="S242" s="50">
        <v>23.9</v>
      </c>
      <c r="T242" s="50">
        <v>36</v>
      </c>
      <c r="U242" s="50">
        <v>3.08</v>
      </c>
      <c r="V242" s="50">
        <v>67.2</v>
      </c>
      <c r="W242" s="50">
        <v>33</v>
      </c>
      <c r="X242" s="50">
        <v>353</v>
      </c>
      <c r="Y242" s="50">
        <v>16.32</v>
      </c>
      <c r="Z242" s="50">
        <v>32.4</v>
      </c>
      <c r="AA242" s="50">
        <v>6.11</v>
      </c>
      <c r="AB242" s="50"/>
      <c r="AC242" s="50"/>
      <c r="AD242" s="50"/>
      <c r="AE242" s="50"/>
      <c r="AF242" s="50"/>
      <c r="AG242" s="50"/>
      <c r="AH242" s="50"/>
      <c r="AI242" s="50"/>
      <c r="AJ242" s="50"/>
    </row>
    <row r="243" spans="1:36" ht="15" customHeight="1" x14ac:dyDescent="0.25">
      <c r="A243" s="50">
        <v>49</v>
      </c>
      <c r="B243" s="50" t="s">
        <v>924</v>
      </c>
      <c r="C243" s="50" t="s">
        <v>1352</v>
      </c>
      <c r="D243" s="50">
        <v>28</v>
      </c>
      <c r="E243" s="50" t="s">
        <v>1355</v>
      </c>
      <c r="F243" s="50">
        <v>4</v>
      </c>
      <c r="G243" s="50">
        <v>5.7</v>
      </c>
      <c r="H243" s="50">
        <v>41</v>
      </c>
      <c r="I243" s="50">
        <v>2.98</v>
      </c>
      <c r="J243" s="50">
        <v>76</v>
      </c>
      <c r="K243" s="50">
        <v>92</v>
      </c>
      <c r="L243" s="50">
        <v>5.57</v>
      </c>
      <c r="M243" s="50">
        <v>5.25</v>
      </c>
      <c r="N243" s="50">
        <v>53</v>
      </c>
      <c r="O243" s="50">
        <v>12.5</v>
      </c>
      <c r="P243" s="50">
        <v>10.7</v>
      </c>
      <c r="Q243" s="50">
        <v>39.1</v>
      </c>
      <c r="R243" s="50">
        <v>40.6</v>
      </c>
      <c r="S243" s="50">
        <v>27</v>
      </c>
      <c r="T243" s="50">
        <v>44</v>
      </c>
      <c r="U243" s="50">
        <v>3.06</v>
      </c>
      <c r="V243" s="50">
        <v>67.7</v>
      </c>
      <c r="W243" s="50">
        <v>39</v>
      </c>
      <c r="X243" s="50">
        <v>380</v>
      </c>
      <c r="Y243" s="50">
        <v>15.63</v>
      </c>
      <c r="Z243" s="50">
        <v>34.299999999999997</v>
      </c>
      <c r="AA243" s="50">
        <v>5.93</v>
      </c>
      <c r="AB243" s="50"/>
      <c r="AC243" s="50"/>
      <c r="AD243" s="50"/>
      <c r="AE243" s="50"/>
      <c r="AF243" s="50"/>
      <c r="AG243" s="50"/>
      <c r="AH243" s="50"/>
      <c r="AI243" s="50"/>
      <c r="AJ243" s="50"/>
    </row>
    <row r="244" spans="1:36" ht="15" customHeight="1" x14ac:dyDescent="0.25">
      <c r="A244" s="50">
        <v>49</v>
      </c>
      <c r="B244" s="50" t="s">
        <v>924</v>
      </c>
      <c r="C244" s="50" t="s">
        <v>1352</v>
      </c>
      <c r="D244" s="50">
        <v>28</v>
      </c>
      <c r="E244" s="50" t="s">
        <v>1355</v>
      </c>
      <c r="F244" s="50">
        <v>8</v>
      </c>
      <c r="G244" s="50">
        <v>4.7</v>
      </c>
      <c r="H244" s="50">
        <v>36</v>
      </c>
      <c r="I244" s="50">
        <v>2.65</v>
      </c>
      <c r="J244" s="50">
        <v>82</v>
      </c>
      <c r="K244" s="50">
        <v>84</v>
      </c>
      <c r="L244" s="50">
        <v>4.68</v>
      </c>
      <c r="M244" s="50">
        <v>4.47</v>
      </c>
      <c r="N244" s="50">
        <v>46</v>
      </c>
      <c r="O244" s="50">
        <v>10.6</v>
      </c>
      <c r="P244" s="50">
        <v>10.8</v>
      </c>
      <c r="Q244" s="50">
        <v>31.9</v>
      </c>
      <c r="R244" s="50">
        <v>46.9</v>
      </c>
      <c r="S244" s="50">
        <v>32.200000000000003</v>
      </c>
      <c r="T244" s="50">
        <v>51</v>
      </c>
      <c r="U244" s="50">
        <v>2.13</v>
      </c>
      <c r="V244" s="50">
        <v>69.400000000000006</v>
      </c>
      <c r="W244" s="50">
        <v>49</v>
      </c>
      <c r="X244" s="50">
        <v>417</v>
      </c>
      <c r="Y244" s="50">
        <v>13.67</v>
      </c>
      <c r="Z244" s="50">
        <v>36.6</v>
      </c>
      <c r="AA244" s="50">
        <v>6.29</v>
      </c>
      <c r="AB244" s="50"/>
      <c r="AC244" s="50"/>
      <c r="AD244" s="50"/>
      <c r="AE244" s="50"/>
      <c r="AF244" s="50"/>
      <c r="AG244" s="50"/>
      <c r="AH244" s="50"/>
      <c r="AI244" s="50"/>
      <c r="AJ244" s="50"/>
    </row>
    <row r="245" spans="1:36" ht="15" customHeight="1" x14ac:dyDescent="0.25">
      <c r="A245" s="50">
        <v>49</v>
      </c>
      <c r="B245" s="50" t="s">
        <v>924</v>
      </c>
      <c r="C245" s="50" t="s">
        <v>1352</v>
      </c>
      <c r="D245" s="50">
        <v>28</v>
      </c>
      <c r="E245" s="50" t="s">
        <v>1355</v>
      </c>
      <c r="F245" s="50">
        <v>12</v>
      </c>
      <c r="G245" s="50">
        <v>4.4000000000000004</v>
      </c>
      <c r="H245" s="50">
        <v>35</v>
      </c>
      <c r="I245" s="50">
        <v>2.4</v>
      </c>
      <c r="J245" s="50">
        <v>90</v>
      </c>
      <c r="K245" s="50">
        <v>76</v>
      </c>
      <c r="L245" s="50">
        <v>4.3899999999999997</v>
      </c>
      <c r="M245" s="50">
        <v>4.49</v>
      </c>
      <c r="N245" s="50">
        <v>44</v>
      </c>
      <c r="O245" s="50">
        <v>10.1</v>
      </c>
      <c r="P245" s="50">
        <v>11.4</v>
      </c>
      <c r="Q245" s="50">
        <v>33.5</v>
      </c>
      <c r="R245" s="50">
        <v>49.3</v>
      </c>
      <c r="S245" s="50">
        <v>33</v>
      </c>
      <c r="T245" s="50">
        <v>51</v>
      </c>
      <c r="U245" s="50">
        <v>3.53</v>
      </c>
      <c r="V245" s="50">
        <v>68.7</v>
      </c>
      <c r="W245" s="50">
        <v>47</v>
      </c>
      <c r="X245" s="50">
        <v>414</v>
      </c>
      <c r="Y245" s="50">
        <v>13.54</v>
      </c>
      <c r="Z245" s="50">
        <v>38</v>
      </c>
      <c r="AA245" s="50">
        <v>6.29</v>
      </c>
      <c r="AB245" s="50"/>
      <c r="AC245" s="50"/>
      <c r="AD245" s="50"/>
      <c r="AE245" s="50"/>
      <c r="AF245" s="50"/>
      <c r="AG245" s="50"/>
      <c r="AH245" s="50"/>
      <c r="AI245" s="50"/>
      <c r="AJ245" s="50"/>
    </row>
    <row r="246" spans="1:36" ht="15" customHeight="1" x14ac:dyDescent="0.25">
      <c r="A246" s="50">
        <v>49</v>
      </c>
      <c r="B246" s="50" t="s">
        <v>924</v>
      </c>
      <c r="C246" s="50" t="s">
        <v>1352</v>
      </c>
      <c r="D246" s="50">
        <v>28</v>
      </c>
      <c r="E246" s="50" t="s">
        <v>1355</v>
      </c>
      <c r="F246" s="50">
        <v>21</v>
      </c>
      <c r="G246" s="50">
        <v>2.7</v>
      </c>
      <c r="H246" s="50">
        <v>28</v>
      </c>
      <c r="I246" s="50">
        <v>1.8</v>
      </c>
      <c r="J246" s="50">
        <v>96</v>
      </c>
      <c r="K246" s="50">
        <v>58</v>
      </c>
      <c r="L246" s="50">
        <v>2.87</v>
      </c>
      <c r="M246" s="50">
        <v>3.28</v>
      </c>
      <c r="N246" s="50">
        <v>32</v>
      </c>
      <c r="O246" s="50">
        <v>8.6</v>
      </c>
      <c r="P246" s="50">
        <v>9.3000000000000007</v>
      </c>
      <c r="Q246" s="50">
        <v>19.600000000000001</v>
      </c>
      <c r="R246" s="50">
        <v>54.5</v>
      </c>
      <c r="S246" s="50">
        <v>42.2</v>
      </c>
      <c r="T246" s="50">
        <v>65</v>
      </c>
      <c r="U246" s="50">
        <v>1.87</v>
      </c>
      <c r="V246" s="50">
        <v>71.3</v>
      </c>
      <c r="W246" s="50">
        <v>68</v>
      </c>
      <c r="X246" s="50">
        <v>463</v>
      </c>
      <c r="Y246" s="50">
        <v>10.58</v>
      </c>
      <c r="Z246" s="50">
        <v>42.4</v>
      </c>
      <c r="AA246" s="50">
        <v>6.91</v>
      </c>
      <c r="AB246" s="50"/>
      <c r="AC246" s="50"/>
      <c r="AD246" s="50"/>
      <c r="AE246" s="50"/>
      <c r="AF246" s="50"/>
      <c r="AG246" s="50"/>
      <c r="AH246" s="50"/>
      <c r="AI246" s="50"/>
      <c r="AJ246" s="50"/>
    </row>
    <row r="247" spans="1:36" ht="15" customHeight="1" x14ac:dyDescent="0.25">
      <c r="A247" s="50">
        <v>50</v>
      </c>
      <c r="B247" s="50" t="s">
        <v>924</v>
      </c>
      <c r="C247" s="50" t="s">
        <v>1352</v>
      </c>
      <c r="D247" s="50">
        <v>39</v>
      </c>
      <c r="E247" s="50" t="s">
        <v>1360</v>
      </c>
      <c r="F247" s="50">
        <v>0</v>
      </c>
      <c r="G247" s="50">
        <v>6.4</v>
      </c>
      <c r="H247" s="50">
        <v>40</v>
      </c>
      <c r="I247" s="50">
        <v>3.11</v>
      </c>
      <c r="J247" s="50">
        <v>92</v>
      </c>
      <c r="K247" s="50">
        <v>100</v>
      </c>
      <c r="L247" s="50">
        <v>7.72</v>
      </c>
      <c r="M247" s="50">
        <v>6.24</v>
      </c>
      <c r="N247" s="50">
        <v>44</v>
      </c>
      <c r="O247" s="50">
        <v>15.7</v>
      </c>
      <c r="P247" s="50">
        <v>12.4</v>
      </c>
      <c r="Q247" s="50">
        <v>51</v>
      </c>
      <c r="R247" s="50">
        <v>31.6</v>
      </c>
      <c r="S247" s="50">
        <v>20.100000000000001</v>
      </c>
      <c r="T247" s="50">
        <v>31</v>
      </c>
      <c r="U247" s="50">
        <v>5.41</v>
      </c>
      <c r="V247" s="50">
        <v>61.9</v>
      </c>
      <c r="W247" s="50">
        <v>25</v>
      </c>
      <c r="X247" s="50">
        <v>400</v>
      </c>
      <c r="Y247" s="50">
        <v>16.64</v>
      </c>
      <c r="Z247" s="50">
        <v>20.399999999999999</v>
      </c>
      <c r="AA247" s="50">
        <v>4.0999999999999996</v>
      </c>
      <c r="AB247" s="50"/>
      <c r="AC247" s="50"/>
      <c r="AD247" s="50"/>
      <c r="AE247" s="50"/>
      <c r="AF247" s="50"/>
      <c r="AG247" s="50"/>
      <c r="AH247" s="50"/>
      <c r="AI247" s="50"/>
      <c r="AJ247" s="50"/>
    </row>
    <row r="248" spans="1:36" ht="15" customHeight="1" x14ac:dyDescent="0.25">
      <c r="A248" s="50">
        <v>50</v>
      </c>
      <c r="B248" s="50" t="s">
        <v>924</v>
      </c>
      <c r="C248" s="50" t="s">
        <v>1352</v>
      </c>
      <c r="D248" s="50">
        <v>39</v>
      </c>
      <c r="E248" s="50" t="s">
        <v>1360</v>
      </c>
      <c r="F248" s="50">
        <v>4</v>
      </c>
      <c r="G248" s="50">
        <v>6.1</v>
      </c>
      <c r="H248" s="50">
        <v>35</v>
      </c>
      <c r="I248" s="50">
        <v>2.92</v>
      </c>
      <c r="J248" s="50">
        <v>99</v>
      </c>
      <c r="K248" s="50">
        <v>92</v>
      </c>
      <c r="L248" s="50">
        <v>7.3</v>
      </c>
      <c r="M248" s="50">
        <v>5.76</v>
      </c>
      <c r="N248" s="50">
        <v>44</v>
      </c>
      <c r="O248" s="50">
        <v>14.7</v>
      </c>
      <c r="P248" s="50">
        <v>11</v>
      </c>
      <c r="Q248" s="50">
        <v>51.9</v>
      </c>
      <c r="R248" s="50">
        <v>34.1</v>
      </c>
      <c r="S248" s="50">
        <v>20.8</v>
      </c>
      <c r="T248" s="50">
        <v>36</v>
      </c>
      <c r="U248" s="50">
        <v>4.75</v>
      </c>
      <c r="V248" s="50">
        <v>62.2</v>
      </c>
      <c r="W248" s="50">
        <v>28</v>
      </c>
      <c r="X248" s="50">
        <v>410</v>
      </c>
      <c r="Y248" s="50">
        <v>15.33</v>
      </c>
      <c r="Z248" s="50">
        <v>21.7</v>
      </c>
      <c r="AA248" s="50">
        <v>4.5</v>
      </c>
      <c r="AB248" s="50"/>
      <c r="AC248" s="50"/>
      <c r="AD248" s="50"/>
      <c r="AE248" s="50"/>
      <c r="AF248" s="50"/>
      <c r="AG248" s="50"/>
      <c r="AH248" s="50"/>
      <c r="AI248" s="50"/>
      <c r="AJ248" s="50"/>
    </row>
    <row r="249" spans="1:36" ht="15" customHeight="1" x14ac:dyDescent="0.25">
      <c r="A249" s="50">
        <v>50</v>
      </c>
      <c r="B249" s="50" t="s">
        <v>924</v>
      </c>
      <c r="C249" s="50" t="s">
        <v>1352</v>
      </c>
      <c r="D249" s="50">
        <v>39</v>
      </c>
      <c r="E249" s="50" t="s">
        <v>1360</v>
      </c>
      <c r="F249" s="50">
        <v>8</v>
      </c>
      <c r="G249" s="50">
        <v>5.0999999999999996</v>
      </c>
      <c r="H249" s="50">
        <v>33</v>
      </c>
      <c r="I249" s="50">
        <v>2.58</v>
      </c>
      <c r="J249" s="50">
        <v>105</v>
      </c>
      <c r="K249" s="50">
        <v>84</v>
      </c>
      <c r="L249" s="50">
        <v>6.1</v>
      </c>
      <c r="M249" s="50">
        <v>5.1100000000000003</v>
      </c>
      <c r="N249" s="50">
        <v>38</v>
      </c>
      <c r="O249" s="50">
        <v>14.2</v>
      </c>
      <c r="P249" s="50">
        <v>9.5</v>
      </c>
      <c r="Q249" s="50">
        <v>44</v>
      </c>
      <c r="R249" s="50">
        <v>41.6</v>
      </c>
      <c r="S249" s="50">
        <v>24</v>
      </c>
      <c r="T249" s="50">
        <v>44</v>
      </c>
      <c r="U249" s="50">
        <v>4.3600000000000003</v>
      </c>
      <c r="V249" s="50">
        <v>64.5</v>
      </c>
      <c r="W249" s="50">
        <v>30</v>
      </c>
      <c r="X249" s="50">
        <v>440</v>
      </c>
      <c r="Y249" s="50">
        <v>13.75</v>
      </c>
      <c r="Z249" s="50">
        <v>25.4</v>
      </c>
      <c r="AA249" s="50">
        <v>5.37</v>
      </c>
      <c r="AB249" s="50"/>
      <c r="AC249" s="50"/>
      <c r="AD249" s="50"/>
      <c r="AE249" s="50"/>
      <c r="AF249" s="50"/>
      <c r="AG249" s="50"/>
      <c r="AH249" s="50"/>
      <c r="AI249" s="50"/>
      <c r="AJ249" s="50"/>
    </row>
    <row r="250" spans="1:36" ht="15" customHeight="1" x14ac:dyDescent="0.25">
      <c r="A250" s="50">
        <v>50</v>
      </c>
      <c r="B250" s="50" t="s">
        <v>924</v>
      </c>
      <c r="C250" s="50" t="s">
        <v>1352</v>
      </c>
      <c r="D250" s="50">
        <v>39</v>
      </c>
      <c r="E250" s="50" t="s">
        <v>1360</v>
      </c>
      <c r="F250" s="50">
        <v>12</v>
      </c>
      <c r="G250" s="50">
        <v>4.3</v>
      </c>
      <c r="H250" s="50">
        <v>30</v>
      </c>
      <c r="I250" s="50">
        <v>2.35</v>
      </c>
      <c r="J250" s="50">
        <v>109</v>
      </c>
      <c r="K250" s="50">
        <v>76</v>
      </c>
      <c r="L250" s="50">
        <v>4.87</v>
      </c>
      <c r="M250" s="50">
        <v>4.3600000000000003</v>
      </c>
      <c r="N250" s="50">
        <v>33</v>
      </c>
      <c r="O250" s="50">
        <v>13.8</v>
      </c>
      <c r="P250" s="50">
        <v>9.4</v>
      </c>
      <c r="Q250" s="50">
        <v>40.700000000000003</v>
      </c>
      <c r="R250" s="50">
        <v>43.5</v>
      </c>
      <c r="S250" s="50">
        <v>28.4</v>
      </c>
      <c r="T250" s="50">
        <v>50</v>
      </c>
      <c r="U250" s="50">
        <v>3.6</v>
      </c>
      <c r="V250" s="50">
        <v>64.3</v>
      </c>
      <c r="W250" s="50">
        <v>38</v>
      </c>
      <c r="X250" s="50">
        <v>463</v>
      </c>
      <c r="Y250" s="50">
        <v>11.84</v>
      </c>
      <c r="Z250" s="50">
        <v>30.5</v>
      </c>
      <c r="AA250" s="50">
        <v>5.28</v>
      </c>
      <c r="AB250" s="50"/>
      <c r="AC250" s="50"/>
      <c r="AD250" s="50"/>
      <c r="AE250" s="50"/>
      <c r="AF250" s="50"/>
      <c r="AG250" s="50"/>
      <c r="AH250" s="50"/>
      <c r="AI250" s="50"/>
      <c r="AJ250" s="50"/>
    </row>
    <row r="251" spans="1:36" ht="15" customHeight="1" x14ac:dyDescent="0.25">
      <c r="A251" s="50">
        <v>50</v>
      </c>
      <c r="B251" s="50" t="s">
        <v>924</v>
      </c>
      <c r="C251" s="50" t="s">
        <v>1352</v>
      </c>
      <c r="D251" s="50">
        <v>39</v>
      </c>
      <c r="E251" s="50" t="s">
        <v>1360</v>
      </c>
      <c r="F251" s="50">
        <v>21</v>
      </c>
      <c r="G251" s="50">
        <v>2.8</v>
      </c>
      <c r="H251" s="50">
        <v>22</v>
      </c>
      <c r="I251" s="50">
        <v>1.64</v>
      </c>
      <c r="J251" s="50">
        <v>117</v>
      </c>
      <c r="K251" s="50">
        <v>58</v>
      </c>
      <c r="L251" s="50">
        <v>3.21</v>
      </c>
      <c r="M251" s="50">
        <v>3.11</v>
      </c>
      <c r="N251" s="50">
        <v>30</v>
      </c>
      <c r="O251" s="50">
        <v>10.1</v>
      </c>
      <c r="P251" s="50">
        <v>7.6</v>
      </c>
      <c r="Q251" s="50">
        <v>29.3</v>
      </c>
      <c r="R251" s="50">
        <v>48.5</v>
      </c>
      <c r="S251" s="50">
        <v>36</v>
      </c>
      <c r="T251" s="50">
        <v>58</v>
      </c>
      <c r="U251" s="50">
        <v>4.26</v>
      </c>
      <c r="V251" s="50">
        <v>68.5</v>
      </c>
      <c r="W251" s="50">
        <v>52</v>
      </c>
      <c r="X251" s="50">
        <v>498</v>
      </c>
      <c r="Y251" s="50">
        <v>9.99</v>
      </c>
      <c r="Z251" s="50">
        <v>36.5</v>
      </c>
      <c r="AA251" s="50">
        <v>5.81</v>
      </c>
      <c r="AB251" s="50"/>
      <c r="AC251" s="50"/>
      <c r="AD251" s="50"/>
      <c r="AE251" s="50"/>
      <c r="AF251" s="50"/>
      <c r="AG251" s="50"/>
      <c r="AH251" s="50"/>
      <c r="AI251" s="50"/>
      <c r="AJ251" s="50"/>
    </row>
    <row r="252" spans="1:36" ht="15" customHeight="1" x14ac:dyDescent="0.25">
      <c r="A252" s="50">
        <v>51</v>
      </c>
      <c r="B252" s="50" t="s">
        <v>924</v>
      </c>
      <c r="C252" s="50" t="s">
        <v>1352</v>
      </c>
      <c r="D252" s="50">
        <v>39</v>
      </c>
      <c r="E252" s="50" t="s">
        <v>1360</v>
      </c>
      <c r="F252" s="50">
        <v>0</v>
      </c>
      <c r="G252" s="50">
        <v>6.9</v>
      </c>
      <c r="H252" s="50">
        <v>46</v>
      </c>
      <c r="I252" s="50">
        <v>3.87</v>
      </c>
      <c r="J252" s="50">
        <v>75</v>
      </c>
      <c r="K252" s="50">
        <v>100</v>
      </c>
      <c r="L252" s="50">
        <v>6.75</v>
      </c>
      <c r="M252" s="50">
        <v>6.38</v>
      </c>
      <c r="N252" s="50">
        <v>36</v>
      </c>
      <c r="O252" s="50">
        <v>15.1</v>
      </c>
      <c r="P252" s="50">
        <v>10.4</v>
      </c>
      <c r="Q252" s="50">
        <v>45.2</v>
      </c>
      <c r="R252" s="50">
        <v>31.9</v>
      </c>
      <c r="S252" s="50">
        <v>27.4</v>
      </c>
      <c r="T252" s="50">
        <v>37</v>
      </c>
      <c r="U252" s="50">
        <v>9.32</v>
      </c>
      <c r="V252" s="50">
        <v>63</v>
      </c>
      <c r="W252" s="50">
        <v>30</v>
      </c>
      <c r="X252" s="50">
        <v>416</v>
      </c>
      <c r="Y252" s="50">
        <v>16.28</v>
      </c>
      <c r="Z252" s="50">
        <v>17.899999999999999</v>
      </c>
      <c r="AA252" s="50">
        <v>5.72</v>
      </c>
      <c r="AB252" s="50"/>
      <c r="AC252" s="50"/>
      <c r="AD252" s="50"/>
      <c r="AE252" s="50"/>
      <c r="AF252" s="50"/>
      <c r="AG252" s="50"/>
      <c r="AH252" s="50"/>
      <c r="AI252" s="50"/>
      <c r="AJ252" s="50"/>
    </row>
    <row r="253" spans="1:36" ht="15" customHeight="1" x14ac:dyDescent="0.25">
      <c r="A253" s="50">
        <v>51</v>
      </c>
      <c r="B253" s="50" t="s">
        <v>924</v>
      </c>
      <c r="C253" s="50" t="s">
        <v>1352</v>
      </c>
      <c r="D253" s="50">
        <v>39</v>
      </c>
      <c r="E253" s="50" t="s">
        <v>1360</v>
      </c>
      <c r="F253" s="50">
        <v>4</v>
      </c>
      <c r="G253" s="50">
        <v>6.2</v>
      </c>
      <c r="H253" s="50">
        <v>44</v>
      </c>
      <c r="I253" s="50">
        <v>3.56</v>
      </c>
      <c r="J253" s="50">
        <v>78</v>
      </c>
      <c r="K253" s="50">
        <v>92</v>
      </c>
      <c r="L253" s="50">
        <v>5.93</v>
      </c>
      <c r="M253" s="50">
        <v>5.64</v>
      </c>
      <c r="N253" s="50">
        <v>35</v>
      </c>
      <c r="O253" s="50">
        <v>15.5</v>
      </c>
      <c r="P253" s="50">
        <v>10.4</v>
      </c>
      <c r="Q253" s="50">
        <v>42.1</v>
      </c>
      <c r="R253" s="50">
        <v>33.9</v>
      </c>
      <c r="S253" s="50">
        <v>26.9</v>
      </c>
      <c r="T253" s="50">
        <v>41</v>
      </c>
      <c r="U253" s="50">
        <v>9.0399999999999991</v>
      </c>
      <c r="V253" s="50">
        <v>64.2</v>
      </c>
      <c r="W253" s="50">
        <v>33</v>
      </c>
      <c r="X253" s="50">
        <v>439</v>
      </c>
      <c r="Y253" s="50">
        <v>15.65</v>
      </c>
      <c r="Z253" s="50">
        <v>19.399999999999999</v>
      </c>
      <c r="AA253" s="50">
        <v>6</v>
      </c>
      <c r="AB253" s="50"/>
      <c r="AC253" s="50"/>
      <c r="AD253" s="50"/>
      <c r="AE253" s="50"/>
      <c r="AF253" s="50"/>
      <c r="AG253" s="50"/>
      <c r="AH253" s="50"/>
      <c r="AI253" s="50"/>
      <c r="AJ253" s="50"/>
    </row>
    <row r="254" spans="1:36" ht="15" customHeight="1" x14ac:dyDescent="0.25">
      <c r="A254" s="50">
        <v>51</v>
      </c>
      <c r="B254" s="50" t="s">
        <v>924</v>
      </c>
      <c r="C254" s="50" t="s">
        <v>1352</v>
      </c>
      <c r="D254" s="50">
        <v>39</v>
      </c>
      <c r="E254" s="50" t="s">
        <v>1360</v>
      </c>
      <c r="F254" s="50">
        <v>8</v>
      </c>
      <c r="G254" s="50">
        <v>5.3</v>
      </c>
      <c r="H254" s="50">
        <v>39</v>
      </c>
      <c r="I254" s="50">
        <v>3.18</v>
      </c>
      <c r="J254" s="50">
        <v>83</v>
      </c>
      <c r="K254" s="50">
        <v>84</v>
      </c>
      <c r="L254" s="50">
        <v>5.1100000000000003</v>
      </c>
      <c r="M254" s="50">
        <v>4.91</v>
      </c>
      <c r="N254" s="50">
        <v>32</v>
      </c>
      <c r="O254" s="50">
        <v>13.8</v>
      </c>
      <c r="P254" s="50">
        <v>8.1999999999999993</v>
      </c>
      <c r="Q254" s="50">
        <v>36.4</v>
      </c>
      <c r="R254" s="50">
        <v>40.299999999999997</v>
      </c>
      <c r="S254" s="50">
        <v>29</v>
      </c>
      <c r="T254" s="50">
        <v>46</v>
      </c>
      <c r="U254" s="50">
        <v>7.05</v>
      </c>
      <c r="V254" s="50">
        <v>68.2</v>
      </c>
      <c r="W254" s="50">
        <v>44</v>
      </c>
      <c r="X254" s="50">
        <v>461</v>
      </c>
      <c r="Y254" s="50">
        <v>13.79</v>
      </c>
      <c r="Z254" s="50">
        <v>23</v>
      </c>
      <c r="AA254" s="50">
        <v>5.77</v>
      </c>
      <c r="AB254" s="50"/>
      <c r="AC254" s="50"/>
      <c r="AD254" s="50"/>
      <c r="AE254" s="50"/>
      <c r="AF254" s="50"/>
      <c r="AG254" s="50"/>
      <c r="AH254" s="50"/>
      <c r="AI254" s="50"/>
      <c r="AJ254" s="50"/>
    </row>
    <row r="255" spans="1:36" ht="15" customHeight="1" x14ac:dyDescent="0.25">
      <c r="A255" s="50">
        <v>51</v>
      </c>
      <c r="B255" s="50" t="s">
        <v>924</v>
      </c>
      <c r="C255" s="50" t="s">
        <v>1352</v>
      </c>
      <c r="D255" s="50">
        <v>39</v>
      </c>
      <c r="E255" s="50" t="s">
        <v>1360</v>
      </c>
      <c r="F255" s="50">
        <v>12</v>
      </c>
      <c r="G255" s="50">
        <v>4.5999999999999996</v>
      </c>
      <c r="H255" s="50">
        <v>38</v>
      </c>
      <c r="I255" s="50">
        <v>2.82</v>
      </c>
      <c r="J255" s="50">
        <v>84</v>
      </c>
      <c r="K255" s="50">
        <v>76</v>
      </c>
      <c r="L255" s="50">
        <v>4.57</v>
      </c>
      <c r="M255" s="50">
        <v>4.32</v>
      </c>
      <c r="N255" s="50">
        <v>31</v>
      </c>
      <c r="O255" s="50">
        <v>13.6</v>
      </c>
      <c r="P255" s="50">
        <v>8.3000000000000007</v>
      </c>
      <c r="Q255" s="50">
        <v>36.4</v>
      </c>
      <c r="R255" s="50">
        <v>45.7</v>
      </c>
      <c r="S255" s="50">
        <v>30.6</v>
      </c>
      <c r="T255" s="50">
        <v>51</v>
      </c>
      <c r="U255" s="50">
        <v>6.56</v>
      </c>
      <c r="V255" s="50">
        <v>66.5</v>
      </c>
      <c r="W255" s="50">
        <v>48</v>
      </c>
      <c r="X255" s="50">
        <v>485</v>
      </c>
      <c r="Y255" s="50">
        <v>12.54</v>
      </c>
      <c r="Z255" s="50">
        <v>27.3</v>
      </c>
      <c r="AA255" s="50">
        <v>6.46</v>
      </c>
      <c r="AB255" s="50"/>
      <c r="AC255" s="50"/>
      <c r="AD255" s="50"/>
      <c r="AE255" s="50"/>
      <c r="AF255" s="50"/>
      <c r="AG255" s="50"/>
      <c r="AH255" s="50"/>
      <c r="AI255" s="50"/>
      <c r="AJ255" s="50"/>
    </row>
    <row r="256" spans="1:36" ht="15" customHeight="1" x14ac:dyDescent="0.25">
      <c r="A256" s="50">
        <v>51</v>
      </c>
      <c r="B256" s="50" t="s">
        <v>924</v>
      </c>
      <c r="C256" s="50" t="s">
        <v>1352</v>
      </c>
      <c r="D256" s="50">
        <v>39</v>
      </c>
      <c r="E256" s="50" t="s">
        <v>1360</v>
      </c>
      <c r="F256" s="50">
        <v>21</v>
      </c>
      <c r="G256" s="50">
        <v>3.3</v>
      </c>
      <c r="H256" s="50">
        <v>31</v>
      </c>
      <c r="I256" s="50">
        <v>1.98</v>
      </c>
      <c r="J256" s="50">
        <v>96</v>
      </c>
      <c r="K256" s="50">
        <v>58</v>
      </c>
      <c r="L256" s="50">
        <v>3.14</v>
      </c>
      <c r="M256" s="50">
        <v>3.18</v>
      </c>
      <c r="N256" s="50">
        <v>30</v>
      </c>
      <c r="O256" s="50">
        <v>10.8</v>
      </c>
      <c r="P256" s="50">
        <v>7.1</v>
      </c>
      <c r="Q256" s="50">
        <v>32.299999999999997</v>
      </c>
      <c r="R256" s="50">
        <v>54.1</v>
      </c>
      <c r="S256" s="50">
        <v>34.5</v>
      </c>
      <c r="T256" s="50">
        <v>59</v>
      </c>
      <c r="U256" s="50">
        <v>6.25</v>
      </c>
      <c r="V256" s="50">
        <v>69.099999999999994</v>
      </c>
      <c r="W256" s="50">
        <v>56</v>
      </c>
      <c r="X256" s="50">
        <v>540</v>
      </c>
      <c r="Y256" s="50">
        <v>10.09</v>
      </c>
      <c r="Z256" s="50">
        <v>32.200000000000003</v>
      </c>
      <c r="AA256" s="50">
        <v>6.22</v>
      </c>
      <c r="AB256" s="50"/>
      <c r="AC256" s="50"/>
      <c r="AD256" s="50"/>
      <c r="AE256" s="50"/>
      <c r="AF256" s="50"/>
      <c r="AG256" s="50"/>
      <c r="AH256" s="50"/>
      <c r="AI256" s="50"/>
      <c r="AJ256" s="50"/>
    </row>
    <row r="257" spans="1:36" ht="15" customHeight="1" x14ac:dyDescent="0.25">
      <c r="A257" s="50">
        <v>52</v>
      </c>
      <c r="B257" s="50" t="s">
        <v>924</v>
      </c>
      <c r="C257" s="50" t="s">
        <v>1352</v>
      </c>
      <c r="D257" s="50">
        <v>33</v>
      </c>
      <c r="E257" s="50" t="s">
        <v>1355</v>
      </c>
      <c r="F257" s="50">
        <v>0</v>
      </c>
      <c r="G257" s="50">
        <v>6.9</v>
      </c>
      <c r="H257" s="50">
        <v>43</v>
      </c>
      <c r="I257" s="50">
        <v>3.2</v>
      </c>
      <c r="J257" s="50">
        <v>94</v>
      </c>
      <c r="K257" s="50">
        <v>100</v>
      </c>
      <c r="L257" s="50">
        <v>7.9</v>
      </c>
      <c r="M257" s="50">
        <v>6.36</v>
      </c>
      <c r="N257" s="50">
        <v>54</v>
      </c>
      <c r="O257" s="50">
        <v>11.9</v>
      </c>
      <c r="P257" s="50">
        <v>10.5</v>
      </c>
      <c r="Q257" s="50">
        <v>33.5</v>
      </c>
      <c r="R257" s="50">
        <v>39.799999999999997</v>
      </c>
      <c r="S257" s="50">
        <v>19</v>
      </c>
      <c r="T257" s="50">
        <v>39</v>
      </c>
      <c r="U257" s="50">
        <v>6.04</v>
      </c>
      <c r="V257" s="50">
        <v>60.4</v>
      </c>
      <c r="W257" s="50">
        <v>39</v>
      </c>
      <c r="X257" s="50">
        <v>320</v>
      </c>
      <c r="Y257" s="50">
        <v>17.53</v>
      </c>
      <c r="Z257" s="50">
        <v>22.5</v>
      </c>
      <c r="AA257" s="50">
        <v>4.76</v>
      </c>
      <c r="AB257" s="50"/>
      <c r="AC257" s="50"/>
      <c r="AD257" s="50"/>
      <c r="AE257" s="50"/>
      <c r="AF257" s="50"/>
      <c r="AG257" s="50"/>
      <c r="AH257" s="50"/>
      <c r="AI257" s="50"/>
      <c r="AJ257" s="50"/>
    </row>
    <row r="258" spans="1:36" ht="15" customHeight="1" x14ac:dyDescent="0.25">
      <c r="A258" s="50">
        <v>52</v>
      </c>
      <c r="B258" s="50" t="s">
        <v>924</v>
      </c>
      <c r="C258" s="50" t="s">
        <v>1352</v>
      </c>
      <c r="D258" s="50">
        <v>33</v>
      </c>
      <c r="E258" s="50" t="s">
        <v>1355</v>
      </c>
      <c r="F258" s="50">
        <v>4</v>
      </c>
      <c r="G258" s="50">
        <v>6.3</v>
      </c>
      <c r="H258" s="50">
        <v>41</v>
      </c>
      <c r="I258" s="50">
        <v>2.96</v>
      </c>
      <c r="J258" s="50">
        <v>95</v>
      </c>
      <c r="K258" s="50">
        <v>92</v>
      </c>
      <c r="L258" s="50">
        <v>7.16</v>
      </c>
      <c r="M258" s="50">
        <v>6.03</v>
      </c>
      <c r="N258" s="50">
        <v>54</v>
      </c>
      <c r="O258" s="50">
        <v>10.8</v>
      </c>
      <c r="P258" s="50">
        <v>9.6</v>
      </c>
      <c r="Q258" s="50">
        <v>33</v>
      </c>
      <c r="R258" s="50">
        <v>43</v>
      </c>
      <c r="S258" s="50">
        <v>23.2</v>
      </c>
      <c r="T258" s="50">
        <v>42</v>
      </c>
      <c r="U258" s="50">
        <v>6.36</v>
      </c>
      <c r="V258" s="50">
        <v>62.4</v>
      </c>
      <c r="W258" s="50">
        <v>39</v>
      </c>
      <c r="X258" s="50">
        <v>334</v>
      </c>
      <c r="Y258" s="50">
        <v>16.95</v>
      </c>
      <c r="Z258" s="50">
        <v>26.4</v>
      </c>
      <c r="AA258" s="50">
        <v>4.92</v>
      </c>
      <c r="AB258" s="50"/>
      <c r="AC258" s="50"/>
      <c r="AD258" s="50"/>
      <c r="AE258" s="50"/>
      <c r="AF258" s="50"/>
      <c r="AG258" s="50"/>
      <c r="AH258" s="50"/>
      <c r="AI258" s="50"/>
      <c r="AJ258" s="50"/>
    </row>
    <row r="259" spans="1:36" ht="15" customHeight="1" x14ac:dyDescent="0.25">
      <c r="A259" s="50">
        <v>52</v>
      </c>
      <c r="B259" s="50" t="s">
        <v>924</v>
      </c>
      <c r="C259" s="50" t="s">
        <v>1352</v>
      </c>
      <c r="D259" s="50">
        <v>33</v>
      </c>
      <c r="E259" s="50" t="s">
        <v>1355</v>
      </c>
      <c r="F259" s="50">
        <v>8</v>
      </c>
      <c r="G259" s="50">
        <v>5.2</v>
      </c>
      <c r="H259" s="50">
        <v>37</v>
      </c>
      <c r="I259" s="50">
        <v>2.56</v>
      </c>
      <c r="J259" s="50">
        <v>102</v>
      </c>
      <c r="K259" s="50">
        <v>84</v>
      </c>
      <c r="L259" s="50">
        <v>6.26</v>
      </c>
      <c r="M259" s="50">
        <v>4.93</v>
      </c>
      <c r="N259" s="50">
        <v>46</v>
      </c>
      <c r="O259" s="50">
        <v>11</v>
      </c>
      <c r="P259" s="50">
        <v>9.8000000000000007</v>
      </c>
      <c r="Q259" s="50">
        <v>27.2</v>
      </c>
      <c r="R259" s="50">
        <v>49.2</v>
      </c>
      <c r="S259" s="50">
        <v>28.4</v>
      </c>
      <c r="T259" s="50">
        <v>44</v>
      </c>
      <c r="U259" s="50">
        <v>5.71</v>
      </c>
      <c r="V259" s="50">
        <v>63.3</v>
      </c>
      <c r="W259" s="50">
        <v>51</v>
      </c>
      <c r="X259" s="50">
        <v>399</v>
      </c>
      <c r="Y259" s="50">
        <v>14.93</v>
      </c>
      <c r="Z259" s="50">
        <v>28.9</v>
      </c>
      <c r="AA259" s="50">
        <v>5.17</v>
      </c>
      <c r="AB259" s="50"/>
      <c r="AC259" s="50"/>
      <c r="AD259" s="50"/>
      <c r="AE259" s="50"/>
      <c r="AF259" s="50"/>
      <c r="AG259" s="50"/>
      <c r="AH259" s="50"/>
      <c r="AI259" s="50"/>
      <c r="AJ259" s="50"/>
    </row>
    <row r="260" spans="1:36" ht="15" customHeight="1" x14ac:dyDescent="0.25">
      <c r="A260" s="50">
        <v>52</v>
      </c>
      <c r="B260" s="50" t="s">
        <v>924</v>
      </c>
      <c r="C260" s="50" t="s">
        <v>1352</v>
      </c>
      <c r="D260" s="50">
        <v>33</v>
      </c>
      <c r="E260" s="50" t="s">
        <v>1355</v>
      </c>
      <c r="F260" s="50">
        <v>12</v>
      </c>
      <c r="G260" s="50">
        <v>4.5999999999999996</v>
      </c>
      <c r="H260" s="50">
        <v>31</v>
      </c>
      <c r="I260" s="50">
        <v>2.38</v>
      </c>
      <c r="J260" s="50">
        <v>109</v>
      </c>
      <c r="K260" s="50">
        <v>76</v>
      </c>
      <c r="L260" s="50">
        <v>5.61</v>
      </c>
      <c r="M260" s="50">
        <v>4.7</v>
      </c>
      <c r="N260" s="50">
        <v>41</v>
      </c>
      <c r="O260" s="50">
        <v>9.1</v>
      </c>
      <c r="P260" s="50">
        <v>10.199999999999999</v>
      </c>
      <c r="Q260" s="50">
        <v>26.6</v>
      </c>
      <c r="R260" s="50">
        <v>50.1</v>
      </c>
      <c r="S260" s="50">
        <v>29.8</v>
      </c>
      <c r="T260" s="50">
        <v>46</v>
      </c>
      <c r="U260" s="50">
        <v>5.89</v>
      </c>
      <c r="V260" s="50">
        <v>63.8</v>
      </c>
      <c r="W260" s="50">
        <v>54</v>
      </c>
      <c r="X260" s="50">
        <v>419</v>
      </c>
      <c r="Y260" s="50">
        <v>13.62</v>
      </c>
      <c r="Z260" s="50">
        <v>33.5</v>
      </c>
      <c r="AA260" s="50">
        <v>5.37</v>
      </c>
      <c r="AB260" s="50"/>
      <c r="AC260" s="50"/>
      <c r="AD260" s="50"/>
      <c r="AE260" s="50"/>
      <c r="AF260" s="50"/>
      <c r="AG260" s="50"/>
      <c r="AH260" s="50"/>
      <c r="AI260" s="50"/>
      <c r="AJ260" s="50"/>
    </row>
    <row r="261" spans="1:36" ht="15" customHeight="1" x14ac:dyDescent="0.25">
      <c r="A261" s="50">
        <v>52</v>
      </c>
      <c r="B261" s="50" t="s">
        <v>924</v>
      </c>
      <c r="C261" s="50" t="s">
        <v>1352</v>
      </c>
      <c r="D261" s="50">
        <v>33</v>
      </c>
      <c r="E261" s="50" t="s">
        <v>1355</v>
      </c>
      <c r="F261" s="50">
        <v>21</v>
      </c>
      <c r="G261" s="50">
        <v>3.1</v>
      </c>
      <c r="H261" s="50">
        <v>23</v>
      </c>
      <c r="I261" s="50">
        <v>1.7</v>
      </c>
      <c r="J261" s="50">
        <v>118</v>
      </c>
      <c r="K261" s="50">
        <v>58</v>
      </c>
      <c r="L261" s="50">
        <v>3.62</v>
      </c>
      <c r="M261" s="50">
        <v>3.48</v>
      </c>
      <c r="N261" s="50">
        <v>35</v>
      </c>
      <c r="O261" s="50">
        <v>9.1999999999999993</v>
      </c>
      <c r="P261" s="50">
        <v>8.6999999999999993</v>
      </c>
      <c r="Q261" s="50">
        <v>21.6</v>
      </c>
      <c r="R261" s="50">
        <v>60</v>
      </c>
      <c r="S261" s="50">
        <v>33.299999999999997</v>
      </c>
      <c r="T261" s="50">
        <v>58</v>
      </c>
      <c r="U261" s="50">
        <v>5.59</v>
      </c>
      <c r="V261" s="50">
        <v>65.599999999999994</v>
      </c>
      <c r="W261" s="50">
        <v>71</v>
      </c>
      <c r="X261" s="50">
        <v>482</v>
      </c>
      <c r="Y261" s="50">
        <v>11.15</v>
      </c>
      <c r="Z261" s="50">
        <v>36.700000000000003</v>
      </c>
      <c r="AA261" s="50">
        <v>6.15</v>
      </c>
      <c r="AB261" s="50"/>
      <c r="AC261" s="50"/>
      <c r="AD261" s="50"/>
      <c r="AE261" s="50"/>
      <c r="AF261" s="50"/>
      <c r="AG261" s="50"/>
      <c r="AH261" s="50"/>
      <c r="AI261" s="50"/>
      <c r="AJ261" s="50"/>
    </row>
    <row r="262" spans="1:36" ht="15" customHeight="1" x14ac:dyDescent="0.25">
      <c r="A262" s="50">
        <v>53</v>
      </c>
      <c r="B262" s="50" t="s">
        <v>924</v>
      </c>
      <c r="C262" s="50" t="s">
        <v>1352</v>
      </c>
      <c r="D262" s="50">
        <v>30</v>
      </c>
      <c r="E262" s="50" t="s">
        <v>1360</v>
      </c>
      <c r="F262" s="50">
        <v>0</v>
      </c>
      <c r="G262" s="50">
        <v>6.8</v>
      </c>
      <c r="H262" s="50">
        <v>47</v>
      </c>
      <c r="I262" s="50">
        <v>4.55</v>
      </c>
      <c r="J262" s="50">
        <v>91</v>
      </c>
      <c r="K262" s="50">
        <v>100</v>
      </c>
      <c r="L262" s="50">
        <v>6.57</v>
      </c>
      <c r="M262" s="50">
        <v>5.74</v>
      </c>
      <c r="N262" s="50">
        <v>48</v>
      </c>
      <c r="O262" s="50">
        <v>15.4</v>
      </c>
      <c r="P262" s="50">
        <v>13.7</v>
      </c>
      <c r="Q262" s="50">
        <v>50</v>
      </c>
      <c r="R262" s="50">
        <v>36.799999999999997</v>
      </c>
      <c r="S262" s="50">
        <v>21.8</v>
      </c>
      <c r="T262" s="50">
        <v>47</v>
      </c>
      <c r="U262" s="50">
        <v>9.48</v>
      </c>
      <c r="V262" s="50">
        <v>60.2</v>
      </c>
      <c r="W262" s="50">
        <v>56</v>
      </c>
      <c r="X262" s="50">
        <v>343</v>
      </c>
      <c r="Y262" s="50">
        <v>14.04</v>
      </c>
      <c r="Z262" s="50">
        <v>29.2</v>
      </c>
      <c r="AA262" s="50">
        <v>5.72</v>
      </c>
      <c r="AB262" s="50"/>
      <c r="AC262" s="50"/>
      <c r="AD262" s="50"/>
      <c r="AE262" s="50"/>
      <c r="AF262" s="50"/>
      <c r="AG262" s="50"/>
      <c r="AH262" s="50"/>
      <c r="AI262" s="50"/>
      <c r="AJ262" s="50"/>
    </row>
    <row r="263" spans="1:36" ht="15" customHeight="1" x14ac:dyDescent="0.25">
      <c r="A263" s="50">
        <v>53</v>
      </c>
      <c r="B263" s="50" t="s">
        <v>924</v>
      </c>
      <c r="C263" s="50" t="s">
        <v>1352</v>
      </c>
      <c r="D263" s="50">
        <v>30</v>
      </c>
      <c r="E263" s="50" t="s">
        <v>1360</v>
      </c>
      <c r="F263" s="50">
        <v>4</v>
      </c>
      <c r="G263" s="50">
        <v>6.4</v>
      </c>
      <c r="H263" s="50">
        <v>42</v>
      </c>
      <c r="I263" s="50">
        <v>4.26</v>
      </c>
      <c r="J263" s="50">
        <v>95</v>
      </c>
      <c r="K263" s="50">
        <v>92</v>
      </c>
      <c r="L263" s="50">
        <v>6.02</v>
      </c>
      <c r="M263" s="50">
        <v>5.57</v>
      </c>
      <c r="N263" s="50">
        <v>47</v>
      </c>
      <c r="O263" s="50">
        <v>14.9</v>
      </c>
      <c r="P263" s="50">
        <v>13.8</v>
      </c>
      <c r="Q263" s="50">
        <v>47.1</v>
      </c>
      <c r="R263" s="50">
        <v>41.8</v>
      </c>
      <c r="S263" s="50">
        <v>25.1</v>
      </c>
      <c r="T263" s="50">
        <v>49</v>
      </c>
      <c r="U263" s="50">
        <v>8.6999999999999993</v>
      </c>
      <c r="V263" s="50">
        <v>60.8</v>
      </c>
      <c r="W263" s="50">
        <v>57</v>
      </c>
      <c r="X263" s="50">
        <v>357</v>
      </c>
      <c r="Y263" s="50">
        <v>13.26</v>
      </c>
      <c r="Z263" s="50">
        <v>27.6</v>
      </c>
      <c r="AA263" s="50">
        <v>5.32</v>
      </c>
      <c r="AB263" s="50"/>
      <c r="AC263" s="50"/>
      <c r="AD263" s="50"/>
      <c r="AE263" s="50"/>
      <c r="AF263" s="50"/>
      <c r="AG263" s="50"/>
      <c r="AH263" s="50"/>
      <c r="AI263" s="50"/>
      <c r="AJ263" s="50"/>
    </row>
    <row r="264" spans="1:36" ht="15" customHeight="1" x14ac:dyDescent="0.25">
      <c r="A264" s="50">
        <v>53</v>
      </c>
      <c r="B264" s="50" t="s">
        <v>924</v>
      </c>
      <c r="C264" s="50" t="s">
        <v>1352</v>
      </c>
      <c r="D264" s="50">
        <v>30</v>
      </c>
      <c r="E264" s="50" t="s">
        <v>1360</v>
      </c>
      <c r="F264" s="50">
        <v>8</v>
      </c>
      <c r="G264" s="50">
        <v>5.3</v>
      </c>
      <c r="H264" s="50">
        <v>39</v>
      </c>
      <c r="I264" s="50">
        <v>3.78</v>
      </c>
      <c r="J264" s="50">
        <v>99</v>
      </c>
      <c r="K264" s="50">
        <v>84</v>
      </c>
      <c r="L264" s="50">
        <v>5.25</v>
      </c>
      <c r="M264" s="50">
        <v>4.96</v>
      </c>
      <c r="N264" s="50">
        <v>42</v>
      </c>
      <c r="O264" s="50">
        <v>11.5</v>
      </c>
      <c r="P264" s="50">
        <v>12.7</v>
      </c>
      <c r="Q264" s="50">
        <v>44.6</v>
      </c>
      <c r="R264" s="50">
        <v>45.7</v>
      </c>
      <c r="S264" s="50">
        <v>28.3</v>
      </c>
      <c r="T264" s="50">
        <v>54</v>
      </c>
      <c r="U264" s="50">
        <v>8.66</v>
      </c>
      <c r="V264" s="50">
        <v>62.1</v>
      </c>
      <c r="W264" s="50">
        <v>65</v>
      </c>
      <c r="X264" s="50">
        <v>416</v>
      </c>
      <c r="Y264" s="50">
        <v>12.7</v>
      </c>
      <c r="Z264" s="50">
        <v>32.1</v>
      </c>
      <c r="AA264" s="50">
        <v>5.84</v>
      </c>
      <c r="AB264" s="50"/>
      <c r="AC264" s="50"/>
      <c r="AD264" s="50"/>
      <c r="AE264" s="50"/>
      <c r="AF264" s="50"/>
      <c r="AG264" s="50"/>
      <c r="AH264" s="50"/>
      <c r="AI264" s="50"/>
      <c r="AJ264" s="50"/>
    </row>
    <row r="265" spans="1:36" ht="15" customHeight="1" x14ac:dyDescent="0.25">
      <c r="A265" s="50">
        <v>53</v>
      </c>
      <c r="B265" s="50" t="s">
        <v>924</v>
      </c>
      <c r="C265" s="50" t="s">
        <v>1352</v>
      </c>
      <c r="D265" s="50">
        <v>30</v>
      </c>
      <c r="E265" s="50" t="s">
        <v>1360</v>
      </c>
      <c r="F265" s="50">
        <v>12</v>
      </c>
      <c r="G265" s="50">
        <v>4.8</v>
      </c>
      <c r="H265" s="50">
        <v>37</v>
      </c>
      <c r="I265" s="50">
        <v>3.42</v>
      </c>
      <c r="J265" s="50">
        <v>98</v>
      </c>
      <c r="K265" s="50">
        <v>76</v>
      </c>
      <c r="L265" s="50">
        <v>4.88</v>
      </c>
      <c r="M265" s="50">
        <v>4.18</v>
      </c>
      <c r="N265" s="50">
        <v>40</v>
      </c>
      <c r="O265" s="50">
        <v>11.4</v>
      </c>
      <c r="P265" s="50">
        <v>11.4</v>
      </c>
      <c r="Q265" s="50">
        <v>39.5</v>
      </c>
      <c r="R265" s="50">
        <v>51</v>
      </c>
      <c r="S265" s="50">
        <v>27.7</v>
      </c>
      <c r="T265" s="50">
        <v>59</v>
      </c>
      <c r="U265" s="50">
        <v>9.2100000000000009</v>
      </c>
      <c r="V265" s="50">
        <v>65.099999999999994</v>
      </c>
      <c r="W265" s="50">
        <v>65</v>
      </c>
      <c r="X265" s="50">
        <v>427</v>
      </c>
      <c r="Y265" s="50">
        <v>12.23</v>
      </c>
      <c r="Z265" s="50">
        <v>31.9</v>
      </c>
      <c r="AA265" s="50">
        <v>6.34</v>
      </c>
      <c r="AB265" s="50"/>
      <c r="AC265" s="50"/>
      <c r="AD265" s="50"/>
      <c r="AE265" s="50"/>
      <c r="AF265" s="50"/>
      <c r="AG265" s="50"/>
      <c r="AH265" s="50"/>
      <c r="AI265" s="50"/>
      <c r="AJ265" s="50"/>
    </row>
    <row r="266" spans="1:36" ht="15" customHeight="1" x14ac:dyDescent="0.25">
      <c r="A266" s="50">
        <v>53</v>
      </c>
      <c r="B266" s="50" t="s">
        <v>924</v>
      </c>
      <c r="C266" s="50" t="s">
        <v>1352</v>
      </c>
      <c r="D266" s="50">
        <v>30</v>
      </c>
      <c r="E266" s="50" t="s">
        <v>1360</v>
      </c>
      <c r="F266" s="50">
        <v>21</v>
      </c>
      <c r="G266" s="50">
        <v>3.1</v>
      </c>
      <c r="H266" s="50">
        <v>27</v>
      </c>
      <c r="I266" s="50">
        <v>2.48</v>
      </c>
      <c r="J266" s="50">
        <v>113</v>
      </c>
      <c r="K266" s="50">
        <v>58</v>
      </c>
      <c r="L266" s="50">
        <v>3.13</v>
      </c>
      <c r="M266" s="50">
        <v>3.47</v>
      </c>
      <c r="N266" s="50">
        <v>33</v>
      </c>
      <c r="O266" s="50">
        <v>9.1</v>
      </c>
      <c r="P266" s="50">
        <v>10.199999999999999</v>
      </c>
      <c r="Q266" s="50">
        <v>28.4</v>
      </c>
      <c r="R266" s="50">
        <v>59.1</v>
      </c>
      <c r="S266" s="50">
        <v>31.3</v>
      </c>
      <c r="T266" s="50">
        <v>70</v>
      </c>
      <c r="U266" s="50">
        <v>6.69</v>
      </c>
      <c r="V266" s="50">
        <v>70.400000000000006</v>
      </c>
      <c r="W266" s="50">
        <v>74</v>
      </c>
      <c r="X266" s="50">
        <v>501</v>
      </c>
      <c r="Y266" s="50">
        <v>11.33</v>
      </c>
      <c r="Z266" s="50">
        <v>33</v>
      </c>
      <c r="AA266" s="50">
        <v>6.54</v>
      </c>
      <c r="AB266" s="50"/>
      <c r="AC266" s="50"/>
      <c r="AD266" s="50"/>
      <c r="AE266" s="50"/>
      <c r="AF266" s="50"/>
      <c r="AG266" s="50"/>
      <c r="AH266" s="50"/>
      <c r="AI266" s="50"/>
      <c r="AJ266" s="50"/>
    </row>
    <row r="267" spans="1:36" ht="15" customHeight="1" x14ac:dyDescent="0.25">
      <c r="A267" s="50">
        <v>54</v>
      </c>
      <c r="B267" s="50" t="s">
        <v>924</v>
      </c>
      <c r="C267" s="50" t="s">
        <v>1357</v>
      </c>
      <c r="D267" s="50">
        <v>47</v>
      </c>
      <c r="E267" s="50" t="s">
        <v>1359</v>
      </c>
      <c r="F267" s="50">
        <v>0</v>
      </c>
      <c r="G267" s="50">
        <v>6.9</v>
      </c>
      <c r="H267" s="50">
        <v>60</v>
      </c>
      <c r="I267" s="50">
        <v>3.35</v>
      </c>
      <c r="J267" s="50">
        <v>102</v>
      </c>
      <c r="K267" s="50">
        <v>100</v>
      </c>
      <c r="L267" s="50">
        <v>6.99</v>
      </c>
      <c r="M267" s="50">
        <v>6.99</v>
      </c>
      <c r="N267" s="50">
        <v>47</v>
      </c>
      <c r="O267" s="50">
        <v>11.8</v>
      </c>
      <c r="P267" s="50">
        <v>13.9</v>
      </c>
      <c r="Q267" s="50">
        <v>50</v>
      </c>
      <c r="R267" s="50">
        <v>35.4</v>
      </c>
      <c r="S267" s="50">
        <v>22.6</v>
      </c>
      <c r="T267" s="50">
        <v>27</v>
      </c>
      <c r="U267" s="50">
        <v>7.46</v>
      </c>
      <c r="V267" s="50">
        <v>49.7</v>
      </c>
      <c r="W267" s="50">
        <v>39</v>
      </c>
      <c r="X267" s="50">
        <v>369</v>
      </c>
      <c r="Y267" s="50">
        <v>17.32</v>
      </c>
      <c r="Z267" s="50">
        <v>28.6</v>
      </c>
      <c r="AA267" s="50">
        <v>3.45</v>
      </c>
      <c r="AB267" s="50"/>
      <c r="AC267" s="50"/>
      <c r="AD267" s="50"/>
      <c r="AE267" s="50"/>
      <c r="AF267" s="50"/>
      <c r="AG267" s="50"/>
      <c r="AH267" s="50"/>
      <c r="AI267" s="50"/>
      <c r="AJ267" s="50"/>
    </row>
    <row r="268" spans="1:36" ht="15" customHeight="1" x14ac:dyDescent="0.25">
      <c r="A268" s="50">
        <v>54</v>
      </c>
      <c r="B268" s="50" t="s">
        <v>924</v>
      </c>
      <c r="C268" s="50" t="s">
        <v>1357</v>
      </c>
      <c r="D268" s="50">
        <v>47</v>
      </c>
      <c r="E268" s="50" t="s">
        <v>1359</v>
      </c>
      <c r="F268" s="50">
        <v>4</v>
      </c>
      <c r="G268" s="50">
        <v>6</v>
      </c>
      <c r="H268" s="50">
        <v>55</v>
      </c>
      <c r="I268" s="50">
        <v>3.13</v>
      </c>
      <c r="J268" s="50">
        <v>106</v>
      </c>
      <c r="K268" s="50">
        <v>92</v>
      </c>
      <c r="L268" s="50">
        <v>6.01</v>
      </c>
      <c r="M268" s="50">
        <v>6</v>
      </c>
      <c r="N268" s="50">
        <v>47</v>
      </c>
      <c r="O268" s="50">
        <v>10.5</v>
      </c>
      <c r="P268" s="50">
        <v>12.8</v>
      </c>
      <c r="Q268" s="50">
        <v>43.3</v>
      </c>
      <c r="R268" s="50">
        <v>39.799999999999997</v>
      </c>
      <c r="S268" s="50">
        <v>26.1</v>
      </c>
      <c r="T268" s="50">
        <v>31</v>
      </c>
      <c r="U268" s="50">
        <v>7.66</v>
      </c>
      <c r="V268" s="50">
        <v>54.2</v>
      </c>
      <c r="W268" s="50">
        <v>48</v>
      </c>
      <c r="X268" s="50">
        <v>392</v>
      </c>
      <c r="Y268" s="50">
        <v>16.510000000000002</v>
      </c>
      <c r="Z268" s="50">
        <v>31.5</v>
      </c>
      <c r="AA268" s="50">
        <v>4.5199999999999996</v>
      </c>
      <c r="AB268" s="50"/>
      <c r="AC268" s="50"/>
      <c r="AD268" s="50"/>
      <c r="AE268" s="50"/>
      <c r="AF268" s="50"/>
      <c r="AG268" s="50"/>
      <c r="AH268" s="50"/>
      <c r="AI268" s="50"/>
      <c r="AJ268" s="50"/>
    </row>
    <row r="269" spans="1:36" ht="15" customHeight="1" x14ac:dyDescent="0.25">
      <c r="A269" s="50">
        <v>54</v>
      </c>
      <c r="B269" s="50" t="s">
        <v>924</v>
      </c>
      <c r="C269" s="50" t="s">
        <v>1357</v>
      </c>
      <c r="D269" s="50">
        <v>47</v>
      </c>
      <c r="E269" s="50" t="s">
        <v>1359</v>
      </c>
      <c r="F269" s="50">
        <v>8</v>
      </c>
      <c r="G269" s="50">
        <v>5.4</v>
      </c>
      <c r="H269" s="50">
        <v>53</v>
      </c>
      <c r="I269" s="50">
        <v>2.81</v>
      </c>
      <c r="J269" s="50">
        <v>106</v>
      </c>
      <c r="K269" s="50">
        <v>84</v>
      </c>
      <c r="L269" s="50">
        <v>5.41</v>
      </c>
      <c r="M269" s="50">
        <v>5.67</v>
      </c>
      <c r="N269" s="50">
        <v>40</v>
      </c>
      <c r="O269" s="50">
        <v>10.3</v>
      </c>
      <c r="P269" s="50">
        <v>12.5</v>
      </c>
      <c r="Q269" s="50">
        <v>42.3</v>
      </c>
      <c r="R269" s="50">
        <v>42.2</v>
      </c>
      <c r="S269" s="50">
        <v>31.2</v>
      </c>
      <c r="T269" s="50">
        <v>36</v>
      </c>
      <c r="U269" s="50">
        <v>6.95</v>
      </c>
      <c r="V269" s="50">
        <v>56.5</v>
      </c>
      <c r="W269" s="50">
        <v>47</v>
      </c>
      <c r="X269" s="50">
        <v>414</v>
      </c>
      <c r="Y269" s="50">
        <v>15.65</v>
      </c>
      <c r="Z269" s="50">
        <v>32.200000000000003</v>
      </c>
      <c r="AA269" s="50">
        <v>4.67</v>
      </c>
      <c r="AB269" s="50"/>
      <c r="AC269" s="50"/>
      <c r="AD269" s="50"/>
      <c r="AE269" s="50"/>
      <c r="AF269" s="50"/>
      <c r="AG269" s="50"/>
      <c r="AH269" s="50"/>
      <c r="AI269" s="50"/>
      <c r="AJ269" s="50"/>
    </row>
    <row r="270" spans="1:36" ht="15" customHeight="1" x14ac:dyDescent="0.25">
      <c r="A270" s="50">
        <v>54</v>
      </c>
      <c r="B270" s="50" t="s">
        <v>924</v>
      </c>
      <c r="C270" s="50" t="s">
        <v>1357</v>
      </c>
      <c r="D270" s="50">
        <v>47</v>
      </c>
      <c r="E270" s="50" t="s">
        <v>1359</v>
      </c>
      <c r="F270" s="50">
        <v>12</v>
      </c>
      <c r="G270" s="50">
        <v>4.5999999999999996</v>
      </c>
      <c r="H270" s="50">
        <v>51</v>
      </c>
      <c r="I270" s="50">
        <v>2.5299999999999998</v>
      </c>
      <c r="J270" s="50">
        <v>115</v>
      </c>
      <c r="K270" s="50">
        <v>76</v>
      </c>
      <c r="L270" s="50">
        <v>4.6900000000000004</v>
      </c>
      <c r="M270" s="50">
        <v>4.99</v>
      </c>
      <c r="N270" s="50">
        <v>37</v>
      </c>
      <c r="O270" s="50">
        <v>7.8</v>
      </c>
      <c r="P270" s="50">
        <v>10.9</v>
      </c>
      <c r="Q270" s="50">
        <v>40.200000000000003</v>
      </c>
      <c r="R270" s="50">
        <v>48.6</v>
      </c>
      <c r="S270" s="50">
        <v>31.3</v>
      </c>
      <c r="T270" s="50">
        <v>44</v>
      </c>
      <c r="U270" s="50">
        <v>5.97</v>
      </c>
      <c r="V270" s="50">
        <v>57.8</v>
      </c>
      <c r="W270" s="50">
        <v>51</v>
      </c>
      <c r="X270" s="50">
        <v>435</v>
      </c>
      <c r="Y270" s="50">
        <v>14.27</v>
      </c>
      <c r="Z270" s="50">
        <v>33.9</v>
      </c>
      <c r="AA270" s="50">
        <v>5.14</v>
      </c>
      <c r="AB270" s="50"/>
      <c r="AC270" s="50"/>
      <c r="AD270" s="50"/>
      <c r="AE270" s="50"/>
      <c r="AF270" s="50"/>
      <c r="AG270" s="50"/>
      <c r="AH270" s="50"/>
      <c r="AI270" s="50"/>
      <c r="AJ270" s="50"/>
    </row>
    <row r="271" spans="1:36" ht="15" customHeight="1" x14ac:dyDescent="0.25">
      <c r="A271" s="50">
        <v>54</v>
      </c>
      <c r="B271" s="50" t="s">
        <v>924</v>
      </c>
      <c r="C271" s="50" t="s">
        <v>1357</v>
      </c>
      <c r="D271" s="50">
        <v>47</v>
      </c>
      <c r="E271" s="50" t="s">
        <v>1359</v>
      </c>
      <c r="F271" s="50">
        <v>21</v>
      </c>
      <c r="G271" s="50">
        <v>2.9</v>
      </c>
      <c r="H271" s="50">
        <v>42</v>
      </c>
      <c r="I271" s="50">
        <v>1.84</v>
      </c>
      <c r="J271" s="50">
        <v>120</v>
      </c>
      <c r="K271" s="50">
        <v>58</v>
      </c>
      <c r="L271" s="50">
        <v>3.08</v>
      </c>
      <c r="M271" s="50">
        <v>3.45</v>
      </c>
      <c r="N271" s="50">
        <v>29</v>
      </c>
      <c r="O271" s="50">
        <v>6.9</v>
      </c>
      <c r="P271" s="50">
        <v>9.5</v>
      </c>
      <c r="Q271" s="50">
        <v>33.799999999999997</v>
      </c>
      <c r="R271" s="50">
        <v>53.4</v>
      </c>
      <c r="S271" s="50">
        <v>39.799999999999997</v>
      </c>
      <c r="T271" s="50">
        <v>58</v>
      </c>
      <c r="U271" s="50">
        <v>4.2699999999999996</v>
      </c>
      <c r="V271" s="50">
        <v>65.099999999999994</v>
      </c>
      <c r="W271" s="50">
        <v>62</v>
      </c>
      <c r="X271" s="50">
        <v>461</v>
      </c>
      <c r="Y271" s="50">
        <v>12.58</v>
      </c>
      <c r="Z271" s="50">
        <v>36.4</v>
      </c>
      <c r="AA271" s="50">
        <v>5.71</v>
      </c>
      <c r="AB271" s="50"/>
      <c r="AC271" s="50"/>
      <c r="AD271" s="50"/>
      <c r="AE271" s="50"/>
      <c r="AF271" s="50"/>
      <c r="AG271" s="50"/>
      <c r="AH271" s="50"/>
      <c r="AI271" s="50"/>
      <c r="AJ271" s="50"/>
    </row>
    <row r="272" spans="1:36" ht="15" customHeight="1" x14ac:dyDescent="0.25">
      <c r="A272" s="50">
        <v>55</v>
      </c>
      <c r="B272" s="50" t="s">
        <v>924</v>
      </c>
      <c r="C272" s="50" t="s">
        <v>1357</v>
      </c>
      <c r="D272" s="50">
        <v>43</v>
      </c>
      <c r="E272" s="50" t="s">
        <v>1355</v>
      </c>
      <c r="F272" s="50">
        <v>0</v>
      </c>
      <c r="G272" s="50">
        <v>7.8</v>
      </c>
      <c r="H272" s="50">
        <v>44</v>
      </c>
      <c r="I272" s="50">
        <v>3.79</v>
      </c>
      <c r="J272" s="50">
        <v>97</v>
      </c>
      <c r="K272" s="50">
        <v>100</v>
      </c>
      <c r="L272" s="50">
        <v>6.43</v>
      </c>
      <c r="M272" s="50">
        <v>5.96</v>
      </c>
      <c r="N272" s="50">
        <v>49</v>
      </c>
      <c r="O272" s="50">
        <v>16.3</v>
      </c>
      <c r="P272" s="50">
        <v>12.2</v>
      </c>
      <c r="Q272" s="50">
        <v>46.8</v>
      </c>
      <c r="R272" s="50">
        <v>27.2</v>
      </c>
      <c r="S272" s="50">
        <v>16.8</v>
      </c>
      <c r="T272" s="50">
        <v>35</v>
      </c>
      <c r="U272" s="50">
        <v>6.71</v>
      </c>
      <c r="V272" s="50">
        <v>58.9</v>
      </c>
      <c r="W272" s="50">
        <v>50</v>
      </c>
      <c r="X272" s="50">
        <v>299</v>
      </c>
      <c r="Y272" s="50">
        <v>19.11</v>
      </c>
      <c r="Z272" s="50">
        <v>23.4</v>
      </c>
      <c r="AA272" s="50">
        <v>3.7</v>
      </c>
      <c r="AB272" s="50"/>
      <c r="AC272" s="50"/>
      <c r="AD272" s="50"/>
      <c r="AE272" s="50"/>
      <c r="AF272" s="50"/>
      <c r="AG272" s="50"/>
      <c r="AH272" s="50"/>
      <c r="AI272" s="50"/>
      <c r="AJ272" s="50"/>
    </row>
    <row r="273" spans="1:36" ht="15" customHeight="1" x14ac:dyDescent="0.25">
      <c r="A273" s="50">
        <v>55</v>
      </c>
      <c r="B273" s="50" t="s">
        <v>924</v>
      </c>
      <c r="C273" s="50" t="s">
        <v>1357</v>
      </c>
      <c r="D273" s="50">
        <v>43</v>
      </c>
      <c r="E273" s="50" t="s">
        <v>1355</v>
      </c>
      <c r="F273" s="50">
        <v>4</v>
      </c>
      <c r="G273" s="50">
        <v>7.3</v>
      </c>
      <c r="H273" s="50">
        <v>40</v>
      </c>
      <c r="I273" s="50">
        <v>3.52</v>
      </c>
      <c r="J273" s="50">
        <v>100</v>
      </c>
      <c r="K273" s="50">
        <v>92</v>
      </c>
      <c r="L273" s="50">
        <v>5.91</v>
      </c>
      <c r="M273" s="50">
        <v>5.82</v>
      </c>
      <c r="N273" s="50">
        <v>46</v>
      </c>
      <c r="O273" s="50">
        <v>15.2</v>
      </c>
      <c r="P273" s="50">
        <v>11.7</v>
      </c>
      <c r="Q273" s="50">
        <v>42.7</v>
      </c>
      <c r="R273" s="50">
        <v>28.2</v>
      </c>
      <c r="S273" s="50">
        <v>18.5</v>
      </c>
      <c r="T273" s="50">
        <v>35</v>
      </c>
      <c r="U273" s="50">
        <v>7.05</v>
      </c>
      <c r="V273" s="50">
        <v>56.9</v>
      </c>
      <c r="W273" s="50">
        <v>52</v>
      </c>
      <c r="X273" s="50">
        <v>307</v>
      </c>
      <c r="Y273" s="50">
        <v>18.68</v>
      </c>
      <c r="Z273" s="50">
        <v>27.3</v>
      </c>
      <c r="AA273" s="50">
        <v>3.69</v>
      </c>
      <c r="AB273" s="50"/>
      <c r="AC273" s="50"/>
      <c r="AD273" s="50"/>
      <c r="AE273" s="50"/>
      <c r="AF273" s="50"/>
      <c r="AG273" s="50"/>
      <c r="AH273" s="50"/>
      <c r="AI273" s="50"/>
      <c r="AJ273" s="50"/>
    </row>
    <row r="274" spans="1:36" ht="15" customHeight="1" x14ac:dyDescent="0.25">
      <c r="A274" s="50">
        <v>55</v>
      </c>
      <c r="B274" s="50" t="s">
        <v>924</v>
      </c>
      <c r="C274" s="50" t="s">
        <v>1357</v>
      </c>
      <c r="D274" s="50">
        <v>43</v>
      </c>
      <c r="E274" s="50" t="s">
        <v>1355</v>
      </c>
      <c r="F274" s="50">
        <v>8</v>
      </c>
      <c r="G274" s="50">
        <v>6.4</v>
      </c>
      <c r="H274" s="50">
        <v>38</v>
      </c>
      <c r="I274" s="50">
        <v>3.06</v>
      </c>
      <c r="J274" s="50">
        <v>104</v>
      </c>
      <c r="K274" s="50">
        <v>84</v>
      </c>
      <c r="L274" s="50">
        <v>5.29</v>
      </c>
      <c r="M274" s="50">
        <v>5.48</v>
      </c>
      <c r="N274" s="50">
        <v>42</v>
      </c>
      <c r="O274" s="50">
        <v>13.6</v>
      </c>
      <c r="P274" s="50">
        <v>11</v>
      </c>
      <c r="Q274" s="50">
        <v>41.4</v>
      </c>
      <c r="R274" s="50">
        <v>35.299999999999997</v>
      </c>
      <c r="S274" s="50">
        <v>21.9</v>
      </c>
      <c r="T274" s="50">
        <v>41</v>
      </c>
      <c r="U274" s="50">
        <v>7.36</v>
      </c>
      <c r="V274" s="50">
        <v>58.9</v>
      </c>
      <c r="W274" s="50">
        <v>51</v>
      </c>
      <c r="X274" s="50">
        <v>340</v>
      </c>
      <c r="Y274" s="50">
        <v>17.18</v>
      </c>
      <c r="Z274" s="50">
        <v>28.2</v>
      </c>
      <c r="AA274" s="50">
        <v>4.4000000000000004</v>
      </c>
      <c r="AB274" s="50"/>
      <c r="AC274" s="50"/>
      <c r="AD274" s="50"/>
      <c r="AE274" s="50"/>
      <c r="AF274" s="50"/>
      <c r="AG274" s="50"/>
      <c r="AH274" s="50"/>
      <c r="AI274" s="50"/>
      <c r="AJ274" s="50"/>
    </row>
    <row r="275" spans="1:36" ht="15" customHeight="1" x14ac:dyDescent="0.25">
      <c r="A275" s="50">
        <v>55</v>
      </c>
      <c r="B275" s="50" t="s">
        <v>924</v>
      </c>
      <c r="C275" s="50" t="s">
        <v>1357</v>
      </c>
      <c r="D275" s="50">
        <v>43</v>
      </c>
      <c r="E275" s="50" t="s">
        <v>1355</v>
      </c>
      <c r="F275" s="50">
        <v>12</v>
      </c>
      <c r="G275" s="50">
        <v>5.4</v>
      </c>
      <c r="H275" s="50">
        <v>35</v>
      </c>
      <c r="I275" s="50">
        <v>2.82</v>
      </c>
      <c r="J275" s="50">
        <v>110</v>
      </c>
      <c r="K275" s="50">
        <v>76</v>
      </c>
      <c r="L275" s="50">
        <v>4.74</v>
      </c>
      <c r="M275" s="50">
        <v>4.55</v>
      </c>
      <c r="N275" s="50">
        <v>37</v>
      </c>
      <c r="O275" s="50">
        <v>13</v>
      </c>
      <c r="P275" s="50">
        <v>9.3000000000000007</v>
      </c>
      <c r="Q275" s="50">
        <v>36.6</v>
      </c>
      <c r="R275" s="50">
        <v>40.200000000000003</v>
      </c>
      <c r="S275" s="50">
        <v>27</v>
      </c>
      <c r="T275" s="50">
        <v>46</v>
      </c>
      <c r="U275" s="50">
        <v>5.8</v>
      </c>
      <c r="V275" s="50">
        <v>58.9</v>
      </c>
      <c r="W275" s="50">
        <v>57</v>
      </c>
      <c r="X275" s="50">
        <v>374</v>
      </c>
      <c r="Y275" s="50">
        <v>14.55</v>
      </c>
      <c r="Z275" s="50">
        <v>30.7</v>
      </c>
      <c r="AA275" s="50">
        <v>4.79</v>
      </c>
      <c r="AB275" s="50"/>
      <c r="AC275" s="50"/>
      <c r="AD275" s="50"/>
      <c r="AE275" s="50"/>
      <c r="AF275" s="50"/>
      <c r="AG275" s="50"/>
      <c r="AH275" s="50"/>
      <c r="AI275" s="50"/>
      <c r="AJ275" s="50"/>
    </row>
    <row r="276" spans="1:36" ht="15" customHeight="1" x14ac:dyDescent="0.25">
      <c r="A276" s="50">
        <v>55</v>
      </c>
      <c r="B276" s="50" t="s">
        <v>924</v>
      </c>
      <c r="C276" s="50" t="s">
        <v>1357</v>
      </c>
      <c r="D276" s="50">
        <v>43</v>
      </c>
      <c r="E276" s="50" t="s">
        <v>1355</v>
      </c>
      <c r="F276" s="50">
        <v>21</v>
      </c>
      <c r="G276" s="50">
        <v>3.9</v>
      </c>
      <c r="H276" s="50">
        <v>26</v>
      </c>
      <c r="I276" s="50">
        <v>2.13</v>
      </c>
      <c r="J276" s="50">
        <v>119</v>
      </c>
      <c r="K276" s="50">
        <v>58</v>
      </c>
      <c r="L276" s="50">
        <v>3.4</v>
      </c>
      <c r="M276" s="50">
        <v>3.56</v>
      </c>
      <c r="N276" s="50">
        <v>32</v>
      </c>
      <c r="O276" s="50">
        <v>10.6</v>
      </c>
      <c r="P276" s="50">
        <v>8.1999999999999993</v>
      </c>
      <c r="Q276" s="50">
        <v>27.8</v>
      </c>
      <c r="R276" s="50">
        <v>47.4</v>
      </c>
      <c r="S276" s="50">
        <v>32.799999999999997</v>
      </c>
      <c r="T276" s="50">
        <v>59</v>
      </c>
      <c r="U276" s="50">
        <v>4.05</v>
      </c>
      <c r="V276" s="50">
        <v>62.3</v>
      </c>
      <c r="W276" s="50">
        <v>63</v>
      </c>
      <c r="X276" s="50">
        <v>454</v>
      </c>
      <c r="Y276" s="50">
        <v>11.81</v>
      </c>
      <c r="Z276" s="50">
        <v>35.200000000000003</v>
      </c>
      <c r="AA276" s="50">
        <v>5.22</v>
      </c>
      <c r="AB276" s="50"/>
      <c r="AC276" s="50"/>
      <c r="AD276" s="50"/>
      <c r="AE276" s="50"/>
      <c r="AF276" s="50"/>
      <c r="AG276" s="50"/>
      <c r="AH276" s="50"/>
      <c r="AI276" s="50"/>
      <c r="AJ276" s="50"/>
    </row>
    <row r="277" spans="1:36" ht="15" customHeight="1" x14ac:dyDescent="0.25">
      <c r="A277" s="50">
        <v>56</v>
      </c>
      <c r="B277" s="50" t="s">
        <v>924</v>
      </c>
      <c r="C277" s="50" t="s">
        <v>1352</v>
      </c>
      <c r="D277" s="50">
        <v>43</v>
      </c>
      <c r="E277" s="50" t="s">
        <v>1359</v>
      </c>
      <c r="F277" s="50">
        <v>0</v>
      </c>
      <c r="G277" s="50">
        <v>6.9</v>
      </c>
      <c r="H277" s="50">
        <v>60</v>
      </c>
      <c r="I277" s="50">
        <v>3.76</v>
      </c>
      <c r="J277" s="50">
        <v>104</v>
      </c>
      <c r="K277" s="50">
        <v>100</v>
      </c>
      <c r="L277" s="50">
        <v>6.95</v>
      </c>
      <c r="M277" s="50">
        <v>5.31</v>
      </c>
      <c r="N277" s="50">
        <v>38</v>
      </c>
      <c r="O277" s="50">
        <v>11</v>
      </c>
      <c r="P277" s="50">
        <v>14</v>
      </c>
      <c r="Q277" s="50">
        <v>48.5</v>
      </c>
      <c r="R277" s="50">
        <v>41.6</v>
      </c>
      <c r="S277" s="50">
        <v>17.8</v>
      </c>
      <c r="T277" s="50">
        <v>37</v>
      </c>
      <c r="U277" s="50">
        <v>13.17</v>
      </c>
      <c r="V277" s="50">
        <v>59</v>
      </c>
      <c r="W277" s="50">
        <v>49</v>
      </c>
      <c r="X277" s="50">
        <v>406</v>
      </c>
      <c r="Y277" s="50">
        <v>16.059999999999999</v>
      </c>
      <c r="Z277" s="50">
        <v>22.1</v>
      </c>
      <c r="AA277" s="50">
        <v>5.14</v>
      </c>
      <c r="AB277" s="50"/>
      <c r="AC277" s="50"/>
      <c r="AD277" s="50"/>
      <c r="AE277" s="50"/>
      <c r="AF277" s="50"/>
      <c r="AG277" s="50"/>
      <c r="AH277" s="50"/>
      <c r="AI277" s="50"/>
      <c r="AJ277" s="50"/>
    </row>
    <row r="278" spans="1:36" ht="15" customHeight="1" x14ac:dyDescent="0.25">
      <c r="A278" s="50">
        <v>56</v>
      </c>
      <c r="B278" s="50" t="s">
        <v>924</v>
      </c>
      <c r="C278" s="50" t="s">
        <v>1352</v>
      </c>
      <c r="D278" s="50">
        <v>43</v>
      </c>
      <c r="E278" s="50" t="s">
        <v>1359</v>
      </c>
      <c r="F278" s="50">
        <v>4</v>
      </c>
      <c r="G278" s="50">
        <v>6.1</v>
      </c>
      <c r="H278" s="50">
        <v>55</v>
      </c>
      <c r="I278" s="50">
        <v>3.39</v>
      </c>
      <c r="J278" s="50">
        <v>113</v>
      </c>
      <c r="K278" s="50">
        <v>92</v>
      </c>
      <c r="L278" s="50">
        <v>6.11</v>
      </c>
      <c r="M278" s="50">
        <v>4.8099999999999996</v>
      </c>
      <c r="N278" s="50">
        <v>35</v>
      </c>
      <c r="O278" s="50">
        <v>10.4</v>
      </c>
      <c r="P278" s="50">
        <v>12.3</v>
      </c>
      <c r="Q278" s="50">
        <v>42.1</v>
      </c>
      <c r="R278" s="50">
        <v>45.3</v>
      </c>
      <c r="S278" s="50">
        <v>19.600000000000001</v>
      </c>
      <c r="T278" s="50">
        <v>38</v>
      </c>
      <c r="U278" s="50">
        <v>11.66</v>
      </c>
      <c r="V278" s="50">
        <v>61</v>
      </c>
      <c r="W278" s="50">
        <v>54</v>
      </c>
      <c r="X278" s="50">
        <v>415</v>
      </c>
      <c r="Y278" s="50">
        <v>14.99</v>
      </c>
      <c r="Z278" s="50">
        <v>24.7</v>
      </c>
      <c r="AA278" s="50">
        <v>5.52</v>
      </c>
      <c r="AB278" s="50"/>
      <c r="AC278" s="50"/>
      <c r="AD278" s="50"/>
      <c r="AE278" s="50"/>
      <c r="AF278" s="50"/>
      <c r="AG278" s="50"/>
      <c r="AH278" s="50"/>
      <c r="AI278" s="50"/>
      <c r="AJ278" s="50"/>
    </row>
    <row r="279" spans="1:36" ht="15" customHeight="1" x14ac:dyDescent="0.25">
      <c r="A279" s="50">
        <v>56</v>
      </c>
      <c r="B279" s="50" t="s">
        <v>924</v>
      </c>
      <c r="C279" s="50" t="s">
        <v>1352</v>
      </c>
      <c r="D279" s="50">
        <v>43</v>
      </c>
      <c r="E279" s="50" t="s">
        <v>1359</v>
      </c>
      <c r="F279" s="50">
        <v>8</v>
      </c>
      <c r="G279" s="50">
        <v>5.6</v>
      </c>
      <c r="H279" s="50">
        <v>53</v>
      </c>
      <c r="I279" s="50">
        <v>3.11</v>
      </c>
      <c r="J279" s="50">
        <v>119</v>
      </c>
      <c r="K279" s="50">
        <v>84</v>
      </c>
      <c r="L279" s="50">
        <v>5.69</v>
      </c>
      <c r="M279" s="50">
        <v>4.1500000000000004</v>
      </c>
      <c r="N279" s="50">
        <v>34</v>
      </c>
      <c r="O279" s="50">
        <v>11.4</v>
      </c>
      <c r="P279" s="50">
        <v>12.7</v>
      </c>
      <c r="Q279" s="50">
        <v>41.8</v>
      </c>
      <c r="R279" s="50">
        <v>52.5</v>
      </c>
      <c r="S279" s="50">
        <v>21.4</v>
      </c>
      <c r="T279" s="50">
        <v>45</v>
      </c>
      <c r="U279" s="50">
        <v>11.07</v>
      </c>
      <c r="V279" s="50">
        <v>61.8</v>
      </c>
      <c r="W279" s="50">
        <v>54</v>
      </c>
      <c r="X279" s="50">
        <v>424</v>
      </c>
      <c r="Y279" s="50">
        <v>14.27</v>
      </c>
      <c r="Z279" s="50">
        <v>24</v>
      </c>
      <c r="AA279" s="50">
        <v>5.83</v>
      </c>
      <c r="AB279" s="50"/>
      <c r="AC279" s="50"/>
      <c r="AD279" s="50"/>
      <c r="AE279" s="50"/>
      <c r="AF279" s="50"/>
      <c r="AG279" s="50"/>
      <c r="AH279" s="50"/>
      <c r="AI279" s="50"/>
      <c r="AJ279" s="50"/>
    </row>
    <row r="280" spans="1:36" ht="15" customHeight="1" x14ac:dyDescent="0.25">
      <c r="A280" s="50">
        <v>56</v>
      </c>
      <c r="B280" s="50" t="s">
        <v>924</v>
      </c>
      <c r="C280" s="50" t="s">
        <v>1352</v>
      </c>
      <c r="D280" s="50">
        <v>43</v>
      </c>
      <c r="E280" s="50" t="s">
        <v>1359</v>
      </c>
      <c r="F280" s="50">
        <v>12</v>
      </c>
      <c r="G280" s="50">
        <v>4.7</v>
      </c>
      <c r="H280" s="50">
        <v>52</v>
      </c>
      <c r="I280" s="50">
        <v>2.79</v>
      </c>
      <c r="J280" s="50">
        <v>117</v>
      </c>
      <c r="K280" s="50">
        <v>76</v>
      </c>
      <c r="L280" s="50">
        <v>4.8600000000000003</v>
      </c>
      <c r="M280" s="50">
        <v>4.13</v>
      </c>
      <c r="N280" s="50">
        <v>31</v>
      </c>
      <c r="O280" s="50">
        <v>10.4</v>
      </c>
      <c r="P280" s="50">
        <v>10.199999999999999</v>
      </c>
      <c r="Q280" s="50">
        <v>39.200000000000003</v>
      </c>
      <c r="R280" s="50">
        <v>53.5</v>
      </c>
      <c r="S280" s="50">
        <v>26.8</v>
      </c>
      <c r="T280" s="50">
        <v>48</v>
      </c>
      <c r="U280" s="50">
        <v>9.39</v>
      </c>
      <c r="V280" s="50">
        <v>64.3</v>
      </c>
      <c r="W280" s="50">
        <v>58</v>
      </c>
      <c r="X280" s="50">
        <v>448</v>
      </c>
      <c r="Y280" s="50">
        <v>13.57</v>
      </c>
      <c r="Z280" s="50">
        <v>28</v>
      </c>
      <c r="AA280" s="50">
        <v>6.33</v>
      </c>
      <c r="AB280" s="50"/>
      <c r="AC280" s="50"/>
      <c r="AD280" s="50"/>
      <c r="AE280" s="50"/>
      <c r="AF280" s="50"/>
      <c r="AG280" s="50"/>
      <c r="AH280" s="50"/>
      <c r="AI280" s="50"/>
      <c r="AJ280" s="50"/>
    </row>
    <row r="281" spans="1:36" ht="15" customHeight="1" x14ac:dyDescent="0.25">
      <c r="A281" s="50">
        <v>56</v>
      </c>
      <c r="B281" s="50" t="s">
        <v>924</v>
      </c>
      <c r="C281" s="50" t="s">
        <v>1352</v>
      </c>
      <c r="D281" s="50">
        <v>43</v>
      </c>
      <c r="E281" s="50" t="s">
        <v>1359</v>
      </c>
      <c r="F281" s="50">
        <v>21</v>
      </c>
      <c r="G281" s="50">
        <v>3.2</v>
      </c>
      <c r="H281" s="50">
        <v>42</v>
      </c>
      <c r="I281" s="50">
        <v>2.09</v>
      </c>
      <c r="J281" s="50">
        <v>131</v>
      </c>
      <c r="K281" s="50">
        <v>58</v>
      </c>
      <c r="L281" s="50">
        <v>3.18</v>
      </c>
      <c r="M281" s="50">
        <v>2.7</v>
      </c>
      <c r="N281" s="50">
        <v>25</v>
      </c>
      <c r="O281" s="50">
        <v>10.3</v>
      </c>
      <c r="P281" s="50">
        <v>8.6999999999999993</v>
      </c>
      <c r="Q281" s="50">
        <v>32.299999999999997</v>
      </c>
      <c r="R281" s="50">
        <v>59.6</v>
      </c>
      <c r="S281" s="50">
        <v>31.8</v>
      </c>
      <c r="T281" s="50">
        <v>57</v>
      </c>
      <c r="U281" s="50">
        <v>5.22</v>
      </c>
      <c r="V281" s="50">
        <v>65.5</v>
      </c>
      <c r="W281" s="50">
        <v>62</v>
      </c>
      <c r="X281" s="50">
        <v>480</v>
      </c>
      <c r="Y281" s="50">
        <v>11.62</v>
      </c>
      <c r="Z281" s="50">
        <v>33.6</v>
      </c>
      <c r="AA281" s="50">
        <v>5.88</v>
      </c>
      <c r="AB281" s="50"/>
      <c r="AC281" s="50"/>
      <c r="AD281" s="50"/>
      <c r="AE281" s="50"/>
      <c r="AF281" s="50"/>
      <c r="AG281" s="50"/>
      <c r="AH281" s="50"/>
      <c r="AI281" s="50"/>
      <c r="AJ281" s="50"/>
    </row>
    <row r="282" spans="1:36" ht="15" customHeight="1" x14ac:dyDescent="0.25">
      <c r="A282" s="50">
        <v>57</v>
      </c>
      <c r="B282" s="50" t="s">
        <v>924</v>
      </c>
      <c r="C282" s="50" t="s">
        <v>1352</v>
      </c>
      <c r="D282" s="50">
        <v>36</v>
      </c>
      <c r="E282" s="50" t="s">
        <v>1359</v>
      </c>
      <c r="F282" s="50">
        <v>0</v>
      </c>
      <c r="G282" s="50">
        <v>6.8</v>
      </c>
      <c r="H282" s="50">
        <v>50</v>
      </c>
      <c r="I282" s="50">
        <v>3.71</v>
      </c>
      <c r="J282" s="50">
        <v>90</v>
      </c>
      <c r="K282" s="50">
        <v>100</v>
      </c>
      <c r="L282" s="50">
        <v>6.94</v>
      </c>
      <c r="M282" s="50">
        <v>6.12</v>
      </c>
      <c r="N282" s="50">
        <v>45</v>
      </c>
      <c r="O282" s="50">
        <v>11.4</v>
      </c>
      <c r="P282" s="50">
        <v>13</v>
      </c>
      <c r="Q282" s="50">
        <v>31.7</v>
      </c>
      <c r="R282" s="50">
        <v>29.9</v>
      </c>
      <c r="S282" s="50">
        <v>13.2</v>
      </c>
      <c r="T282" s="50">
        <v>24</v>
      </c>
      <c r="U282" s="50">
        <v>10.91</v>
      </c>
      <c r="V282" s="50">
        <v>61.7</v>
      </c>
      <c r="W282" s="50">
        <v>29</v>
      </c>
      <c r="X282" s="50">
        <v>326</v>
      </c>
      <c r="Y282" s="50">
        <v>11.97</v>
      </c>
      <c r="Z282" s="50">
        <v>31.6</v>
      </c>
      <c r="AA282" s="50">
        <v>6.9</v>
      </c>
      <c r="AB282" s="50"/>
      <c r="AC282" s="50"/>
      <c r="AD282" s="50"/>
      <c r="AE282" s="50"/>
      <c r="AF282" s="50"/>
      <c r="AG282" s="50"/>
      <c r="AH282" s="50"/>
      <c r="AI282" s="50"/>
      <c r="AJ282" s="50"/>
    </row>
    <row r="283" spans="1:36" ht="15" customHeight="1" x14ac:dyDescent="0.25">
      <c r="A283" s="50">
        <v>57</v>
      </c>
      <c r="B283" s="50" t="s">
        <v>924</v>
      </c>
      <c r="C283" s="50" t="s">
        <v>1352</v>
      </c>
      <c r="D283" s="50">
        <v>36</v>
      </c>
      <c r="E283" s="50" t="s">
        <v>1359</v>
      </c>
      <c r="F283" s="50">
        <v>4</v>
      </c>
      <c r="G283" s="50">
        <v>6</v>
      </c>
      <c r="H283" s="50">
        <v>47</v>
      </c>
      <c r="I283" s="50">
        <v>3.41</v>
      </c>
      <c r="J283" s="50">
        <v>90</v>
      </c>
      <c r="K283" s="50">
        <v>92</v>
      </c>
      <c r="L283" s="50">
        <v>6.3</v>
      </c>
      <c r="M283" s="50">
        <v>5.37</v>
      </c>
      <c r="N283" s="50">
        <v>42</v>
      </c>
      <c r="O283" s="50">
        <v>9.5</v>
      </c>
      <c r="P283" s="50">
        <v>13.7</v>
      </c>
      <c r="Q283" s="50">
        <v>27.8</v>
      </c>
      <c r="R283" s="50">
        <v>39.700000000000003</v>
      </c>
      <c r="S283" s="50">
        <v>15.8</v>
      </c>
      <c r="T283" s="50">
        <v>30</v>
      </c>
      <c r="U283" s="50">
        <v>9.49</v>
      </c>
      <c r="V283" s="50">
        <v>62.8</v>
      </c>
      <c r="W283" s="50">
        <v>35</v>
      </c>
      <c r="X283" s="50">
        <v>347</v>
      </c>
      <c r="Y283" s="50">
        <v>12.6</v>
      </c>
      <c r="Z283" s="50">
        <v>34.9</v>
      </c>
      <c r="AA283" s="50">
        <v>6.91</v>
      </c>
      <c r="AB283" s="50"/>
      <c r="AC283" s="50"/>
      <c r="AD283" s="50"/>
      <c r="AE283" s="50"/>
      <c r="AF283" s="50"/>
      <c r="AG283" s="50"/>
      <c r="AH283" s="50"/>
      <c r="AI283" s="50"/>
      <c r="AJ283" s="50"/>
    </row>
    <row r="284" spans="1:36" ht="15" customHeight="1" x14ac:dyDescent="0.25">
      <c r="A284" s="50">
        <v>57</v>
      </c>
      <c r="B284" s="50" t="s">
        <v>924</v>
      </c>
      <c r="C284" s="50" t="s">
        <v>1352</v>
      </c>
      <c r="D284" s="50">
        <v>36</v>
      </c>
      <c r="E284" s="50" t="s">
        <v>1359</v>
      </c>
      <c r="F284" s="50">
        <v>8</v>
      </c>
      <c r="G284" s="50">
        <v>5.7</v>
      </c>
      <c r="H284" s="50">
        <v>45</v>
      </c>
      <c r="I284" s="50">
        <v>3.16</v>
      </c>
      <c r="J284" s="50">
        <v>97</v>
      </c>
      <c r="K284" s="50">
        <v>84</v>
      </c>
      <c r="L284" s="50">
        <v>5.99</v>
      </c>
      <c r="M284" s="50">
        <v>5.39</v>
      </c>
      <c r="N284" s="50">
        <v>41</v>
      </c>
      <c r="O284" s="50">
        <v>9.6</v>
      </c>
      <c r="P284" s="50">
        <v>12.4</v>
      </c>
      <c r="Q284" s="50">
        <v>29</v>
      </c>
      <c r="R284" s="50">
        <v>39.6</v>
      </c>
      <c r="S284" s="50">
        <v>15.7</v>
      </c>
      <c r="T284" s="50">
        <v>35</v>
      </c>
      <c r="U284" s="50">
        <v>10.31</v>
      </c>
      <c r="V284" s="50">
        <v>63.8</v>
      </c>
      <c r="W284" s="50">
        <v>38</v>
      </c>
      <c r="X284" s="50">
        <v>367</v>
      </c>
      <c r="Y284" s="50">
        <v>11.84</v>
      </c>
      <c r="Z284" s="50">
        <v>33.4</v>
      </c>
      <c r="AA284" s="50">
        <v>6.98</v>
      </c>
      <c r="AB284" s="50"/>
      <c r="AC284" s="50"/>
      <c r="AD284" s="50"/>
      <c r="AE284" s="50"/>
      <c r="AF284" s="50"/>
      <c r="AG284" s="50"/>
      <c r="AH284" s="50"/>
      <c r="AI284" s="50"/>
      <c r="AJ284" s="50"/>
    </row>
    <row r="285" spans="1:36" ht="15" customHeight="1" x14ac:dyDescent="0.25">
      <c r="A285" s="50">
        <v>57</v>
      </c>
      <c r="B285" s="50" t="s">
        <v>924</v>
      </c>
      <c r="C285" s="50" t="s">
        <v>1352</v>
      </c>
      <c r="D285" s="50">
        <v>36</v>
      </c>
      <c r="E285" s="50" t="s">
        <v>1359</v>
      </c>
      <c r="F285" s="50">
        <v>12</v>
      </c>
      <c r="G285" s="50">
        <v>4.8</v>
      </c>
      <c r="H285" s="50">
        <v>41</v>
      </c>
      <c r="I285" s="50">
        <v>2.75</v>
      </c>
      <c r="J285" s="50">
        <v>103</v>
      </c>
      <c r="K285" s="50">
        <v>76</v>
      </c>
      <c r="L285" s="50">
        <v>5</v>
      </c>
      <c r="M285" s="50">
        <v>4.38</v>
      </c>
      <c r="N285" s="50">
        <v>37</v>
      </c>
      <c r="O285" s="50">
        <v>9.8000000000000007</v>
      </c>
      <c r="P285" s="50">
        <v>11.4</v>
      </c>
      <c r="Q285" s="50">
        <v>26.1</v>
      </c>
      <c r="R285" s="50">
        <v>50</v>
      </c>
      <c r="S285" s="50">
        <v>23.5</v>
      </c>
      <c r="T285" s="50">
        <v>41</v>
      </c>
      <c r="U285" s="50">
        <v>8.66</v>
      </c>
      <c r="V285" s="50">
        <v>65.5</v>
      </c>
      <c r="W285" s="50">
        <v>46</v>
      </c>
      <c r="X285" s="50">
        <v>412</v>
      </c>
      <c r="Y285" s="50">
        <v>11.09</v>
      </c>
      <c r="Z285" s="50">
        <v>34.799999999999997</v>
      </c>
      <c r="AA285" s="50">
        <v>7.08</v>
      </c>
      <c r="AB285" s="50"/>
      <c r="AC285" s="50"/>
      <c r="AD285" s="50"/>
      <c r="AE285" s="50"/>
      <c r="AF285" s="50"/>
      <c r="AG285" s="50"/>
      <c r="AH285" s="50"/>
      <c r="AI285" s="50"/>
      <c r="AJ285" s="50"/>
    </row>
    <row r="286" spans="1:36" ht="15" customHeight="1" x14ac:dyDescent="0.25">
      <c r="A286" s="50">
        <v>57</v>
      </c>
      <c r="B286" s="50" t="s">
        <v>924</v>
      </c>
      <c r="C286" s="50" t="s">
        <v>1352</v>
      </c>
      <c r="D286" s="50">
        <v>36</v>
      </c>
      <c r="E286" s="50" t="s">
        <v>1359</v>
      </c>
      <c r="F286" s="50">
        <v>21</v>
      </c>
      <c r="G286" s="50">
        <v>3.2</v>
      </c>
      <c r="H286" s="50">
        <v>33</v>
      </c>
      <c r="I286" s="50">
        <v>2.04</v>
      </c>
      <c r="J286" s="50">
        <v>109</v>
      </c>
      <c r="K286" s="50">
        <v>58</v>
      </c>
      <c r="L286" s="50">
        <v>3.37</v>
      </c>
      <c r="M286" s="50">
        <v>3.18</v>
      </c>
      <c r="N286" s="50">
        <v>32</v>
      </c>
      <c r="O286" s="50">
        <v>8</v>
      </c>
      <c r="P286" s="50">
        <v>9.6</v>
      </c>
      <c r="Q286" s="50">
        <v>23.1</v>
      </c>
      <c r="R286" s="50">
        <v>57.5</v>
      </c>
      <c r="S286" s="50">
        <v>31.6</v>
      </c>
      <c r="T286" s="50">
        <v>49</v>
      </c>
      <c r="U286" s="50">
        <v>6.88</v>
      </c>
      <c r="V286" s="50">
        <v>65.7</v>
      </c>
      <c r="W286" s="50">
        <v>64</v>
      </c>
      <c r="X286" s="50">
        <v>475</v>
      </c>
      <c r="Y286" s="50">
        <v>10.69</v>
      </c>
      <c r="Z286" s="50">
        <v>38.9</v>
      </c>
      <c r="AA286" s="50">
        <v>7.14</v>
      </c>
      <c r="AB286" s="50"/>
      <c r="AC286" s="50"/>
      <c r="AD286" s="50"/>
      <c r="AE286" s="50"/>
      <c r="AF286" s="50"/>
      <c r="AG286" s="50"/>
      <c r="AH286" s="50"/>
      <c r="AI286" s="50"/>
      <c r="AJ286" s="50"/>
    </row>
    <row r="287" spans="1:36" ht="15" customHeight="1" x14ac:dyDescent="0.25">
      <c r="A287" s="50">
        <v>58</v>
      </c>
      <c r="B287" s="50" t="s">
        <v>924</v>
      </c>
      <c r="C287" s="50" t="s">
        <v>1352</v>
      </c>
      <c r="D287" s="50">
        <v>39</v>
      </c>
      <c r="E287" s="50" t="s">
        <v>1360</v>
      </c>
      <c r="F287" s="50">
        <v>0</v>
      </c>
      <c r="G287" s="50">
        <v>7.5</v>
      </c>
      <c r="H287" s="50">
        <v>48</v>
      </c>
      <c r="I287" s="50">
        <v>2.71</v>
      </c>
      <c r="J287" s="50">
        <v>114</v>
      </c>
      <c r="K287" s="50">
        <v>100</v>
      </c>
      <c r="L287" s="50">
        <v>6.4</v>
      </c>
      <c r="M287" s="50">
        <v>5.81</v>
      </c>
      <c r="N287" s="50">
        <v>42</v>
      </c>
      <c r="O287" s="50">
        <v>13.6</v>
      </c>
      <c r="P287" s="50">
        <v>14.9</v>
      </c>
      <c r="Q287" s="50">
        <v>46.7</v>
      </c>
      <c r="R287" s="50">
        <v>43.7</v>
      </c>
      <c r="S287" s="50">
        <v>33.9</v>
      </c>
      <c r="T287" s="50">
        <v>37</v>
      </c>
      <c r="U287" s="50">
        <v>8.33</v>
      </c>
      <c r="V287" s="50">
        <v>54.1</v>
      </c>
      <c r="W287" s="50">
        <v>54</v>
      </c>
      <c r="X287" s="50">
        <v>357</v>
      </c>
      <c r="Y287" s="50">
        <v>15.17</v>
      </c>
      <c r="Z287" s="50">
        <v>23.5</v>
      </c>
      <c r="AA287" s="50">
        <v>5.1100000000000003</v>
      </c>
      <c r="AB287" s="50"/>
      <c r="AC287" s="50"/>
      <c r="AD287" s="50"/>
      <c r="AE287" s="50"/>
      <c r="AF287" s="50"/>
      <c r="AG287" s="50"/>
      <c r="AH287" s="50"/>
      <c r="AI287" s="50"/>
      <c r="AJ287" s="50"/>
    </row>
    <row r="288" spans="1:36" ht="15" customHeight="1" x14ac:dyDescent="0.25">
      <c r="A288" s="50">
        <v>58</v>
      </c>
      <c r="B288" s="50" t="s">
        <v>924</v>
      </c>
      <c r="C288" s="50" t="s">
        <v>1352</v>
      </c>
      <c r="D288" s="50">
        <v>39</v>
      </c>
      <c r="E288" s="50" t="s">
        <v>1360</v>
      </c>
      <c r="F288" s="50">
        <v>4</v>
      </c>
      <c r="G288" s="50">
        <v>6.5</v>
      </c>
      <c r="H288" s="50">
        <v>45</v>
      </c>
      <c r="I288" s="50">
        <v>2.5299999999999998</v>
      </c>
      <c r="J288" s="50">
        <v>119</v>
      </c>
      <c r="K288" s="50">
        <v>92</v>
      </c>
      <c r="L288" s="50">
        <v>5.79</v>
      </c>
      <c r="M288" s="50">
        <v>5.0999999999999996</v>
      </c>
      <c r="N288" s="50">
        <v>40</v>
      </c>
      <c r="O288" s="50">
        <v>12.2</v>
      </c>
      <c r="P288" s="50">
        <v>13.6</v>
      </c>
      <c r="Q288" s="50">
        <v>41.7</v>
      </c>
      <c r="R288" s="50">
        <v>46.8</v>
      </c>
      <c r="S288" s="50">
        <v>34.299999999999997</v>
      </c>
      <c r="T288" s="50">
        <v>43</v>
      </c>
      <c r="U288" s="50">
        <v>6.48</v>
      </c>
      <c r="V288" s="50">
        <v>54.7</v>
      </c>
      <c r="W288" s="50">
        <v>56</v>
      </c>
      <c r="X288" s="50">
        <v>384</v>
      </c>
      <c r="Y288" s="50">
        <v>13.62</v>
      </c>
      <c r="Z288" s="50">
        <v>26</v>
      </c>
      <c r="AA288" s="50">
        <v>5.24</v>
      </c>
      <c r="AB288" s="50"/>
      <c r="AC288" s="50"/>
      <c r="AD288" s="50"/>
      <c r="AE288" s="50"/>
      <c r="AF288" s="50"/>
      <c r="AG288" s="50"/>
      <c r="AH288" s="50"/>
      <c r="AI288" s="50"/>
      <c r="AJ288" s="50"/>
    </row>
    <row r="289" spans="1:36" ht="15" customHeight="1" x14ac:dyDescent="0.25">
      <c r="A289" s="50">
        <v>58</v>
      </c>
      <c r="B289" s="50" t="s">
        <v>924</v>
      </c>
      <c r="C289" s="50" t="s">
        <v>1352</v>
      </c>
      <c r="D289" s="50">
        <v>39</v>
      </c>
      <c r="E289" s="50" t="s">
        <v>1360</v>
      </c>
      <c r="F289" s="50">
        <v>8</v>
      </c>
      <c r="G289" s="50">
        <v>5.7</v>
      </c>
      <c r="H289" s="50">
        <v>42</v>
      </c>
      <c r="I289" s="50">
        <v>2.2799999999999998</v>
      </c>
      <c r="J289" s="50">
        <v>128</v>
      </c>
      <c r="K289" s="50">
        <v>84</v>
      </c>
      <c r="L289" s="50">
        <v>4.96</v>
      </c>
      <c r="M289" s="50">
        <v>4.6399999999999997</v>
      </c>
      <c r="N289" s="50">
        <v>37</v>
      </c>
      <c r="O289" s="50">
        <v>11.4</v>
      </c>
      <c r="P289" s="50">
        <v>13.1</v>
      </c>
      <c r="Q289" s="50">
        <v>39.1</v>
      </c>
      <c r="R289" s="50">
        <v>51.8</v>
      </c>
      <c r="S289" s="50">
        <v>34.700000000000003</v>
      </c>
      <c r="T289" s="50">
        <v>47</v>
      </c>
      <c r="U289" s="50">
        <v>6</v>
      </c>
      <c r="V289" s="50">
        <v>57.8</v>
      </c>
      <c r="W289" s="50">
        <v>59</v>
      </c>
      <c r="X289" s="50">
        <v>414</v>
      </c>
      <c r="Y289" s="50">
        <v>13.44</v>
      </c>
      <c r="Z289" s="50">
        <v>28.3</v>
      </c>
      <c r="AA289" s="50">
        <v>5.71</v>
      </c>
      <c r="AB289" s="50"/>
      <c r="AC289" s="50"/>
      <c r="AD289" s="50"/>
      <c r="AE289" s="50"/>
      <c r="AF289" s="50"/>
      <c r="AG289" s="50"/>
      <c r="AH289" s="50"/>
      <c r="AI289" s="50"/>
      <c r="AJ289" s="50"/>
    </row>
    <row r="290" spans="1:36" ht="15" customHeight="1" x14ac:dyDescent="0.25">
      <c r="A290" s="50">
        <v>58</v>
      </c>
      <c r="B290" s="50" t="s">
        <v>924</v>
      </c>
      <c r="C290" s="50" t="s">
        <v>1352</v>
      </c>
      <c r="D290" s="50">
        <v>39</v>
      </c>
      <c r="E290" s="50" t="s">
        <v>1360</v>
      </c>
      <c r="F290" s="50">
        <v>12</v>
      </c>
      <c r="G290" s="50">
        <v>5.2</v>
      </c>
      <c r="H290" s="50">
        <v>40</v>
      </c>
      <c r="I290" s="50">
        <v>1.92</v>
      </c>
      <c r="J290" s="50">
        <v>130</v>
      </c>
      <c r="K290" s="50">
        <v>76</v>
      </c>
      <c r="L290" s="50">
        <v>4.6900000000000004</v>
      </c>
      <c r="M290" s="50">
        <v>4.5199999999999996</v>
      </c>
      <c r="N290" s="50">
        <v>36</v>
      </c>
      <c r="O290" s="50">
        <v>10</v>
      </c>
      <c r="P290" s="50">
        <v>13.3</v>
      </c>
      <c r="Q290" s="50">
        <v>36</v>
      </c>
      <c r="R290" s="50">
        <v>54.2</v>
      </c>
      <c r="S290" s="50">
        <v>38.9</v>
      </c>
      <c r="T290" s="50">
        <v>49</v>
      </c>
      <c r="U290" s="50">
        <v>5.56</v>
      </c>
      <c r="V290" s="50">
        <v>58.5</v>
      </c>
      <c r="W290" s="50">
        <v>64</v>
      </c>
      <c r="X290" s="50">
        <v>413</v>
      </c>
      <c r="Y290" s="50">
        <v>12.62</v>
      </c>
      <c r="Z290" s="50">
        <v>31.6</v>
      </c>
      <c r="AA290" s="50">
        <v>5.22</v>
      </c>
      <c r="AB290" s="50"/>
      <c r="AC290" s="50"/>
      <c r="AD290" s="50"/>
      <c r="AE290" s="50"/>
      <c r="AF290" s="50"/>
      <c r="AG290" s="50"/>
      <c r="AH290" s="50"/>
      <c r="AI290" s="50"/>
      <c r="AJ290" s="50"/>
    </row>
    <row r="291" spans="1:36" ht="15" customHeight="1" x14ac:dyDescent="0.25">
      <c r="A291" s="50">
        <v>58</v>
      </c>
      <c r="B291" s="50" t="s">
        <v>924</v>
      </c>
      <c r="C291" s="50" t="s">
        <v>1352</v>
      </c>
      <c r="D291" s="50">
        <v>39</v>
      </c>
      <c r="E291" s="50" t="s">
        <v>1360</v>
      </c>
      <c r="F291" s="50">
        <v>21</v>
      </c>
      <c r="G291" s="50">
        <v>3.2</v>
      </c>
      <c r="H291" s="50">
        <v>33</v>
      </c>
      <c r="I291" s="50">
        <v>1.49</v>
      </c>
      <c r="J291" s="50">
        <v>137</v>
      </c>
      <c r="K291" s="50">
        <v>58</v>
      </c>
      <c r="L291" s="50">
        <v>3.32</v>
      </c>
      <c r="M291" s="50">
        <v>3.34</v>
      </c>
      <c r="N291" s="50">
        <v>28</v>
      </c>
      <c r="O291" s="50">
        <v>9.1999999999999993</v>
      </c>
      <c r="P291" s="50">
        <v>13</v>
      </c>
      <c r="Q291" s="50">
        <v>28.4</v>
      </c>
      <c r="R291" s="50">
        <v>64.7</v>
      </c>
      <c r="S291" s="50">
        <v>38.299999999999997</v>
      </c>
      <c r="T291" s="50">
        <v>66</v>
      </c>
      <c r="U291" s="50">
        <v>4.03</v>
      </c>
      <c r="V291" s="50">
        <v>65.099999999999994</v>
      </c>
      <c r="W291" s="50">
        <v>70</v>
      </c>
      <c r="X291" s="50">
        <v>449</v>
      </c>
      <c r="Y291" s="50">
        <v>10.01</v>
      </c>
      <c r="Z291" s="50">
        <v>35.299999999999997</v>
      </c>
      <c r="AA291" s="50">
        <v>6.1</v>
      </c>
      <c r="AB291" s="50"/>
      <c r="AC291" s="50"/>
      <c r="AD291" s="50"/>
      <c r="AE291" s="50"/>
      <c r="AF291" s="50"/>
      <c r="AG291" s="50"/>
      <c r="AH291" s="50"/>
      <c r="AI291" s="50"/>
      <c r="AJ291" s="50"/>
    </row>
    <row r="292" spans="1:36" ht="15" customHeight="1" x14ac:dyDescent="0.25">
      <c r="A292" s="50">
        <v>59</v>
      </c>
      <c r="B292" s="50" t="s">
        <v>924</v>
      </c>
      <c r="C292" s="50" t="s">
        <v>1357</v>
      </c>
      <c r="D292" s="50">
        <v>39</v>
      </c>
      <c r="E292" s="50" t="s">
        <v>1360</v>
      </c>
      <c r="F292" s="50">
        <v>0</v>
      </c>
      <c r="G292" s="50">
        <v>7.7</v>
      </c>
      <c r="H292" s="50">
        <v>38</v>
      </c>
      <c r="I292" s="50">
        <v>3.34</v>
      </c>
      <c r="J292" s="50">
        <v>88</v>
      </c>
      <c r="K292" s="50">
        <v>100</v>
      </c>
      <c r="L292" s="50">
        <v>6.02</v>
      </c>
      <c r="M292" s="50">
        <v>6.63</v>
      </c>
      <c r="N292" s="50">
        <v>42</v>
      </c>
      <c r="O292" s="50">
        <v>12.7</v>
      </c>
      <c r="P292" s="50">
        <v>14.1</v>
      </c>
      <c r="Q292" s="50">
        <v>61.1</v>
      </c>
      <c r="R292" s="50">
        <v>39.299999999999997</v>
      </c>
      <c r="S292" s="50">
        <v>18.7</v>
      </c>
      <c r="T292" s="50">
        <v>47</v>
      </c>
      <c r="U292" s="50">
        <v>8.43</v>
      </c>
      <c r="V292" s="50">
        <v>59.5</v>
      </c>
      <c r="W292" s="50">
        <v>58</v>
      </c>
      <c r="X292" s="50">
        <v>373</v>
      </c>
      <c r="Y292" s="50">
        <v>15.91</v>
      </c>
      <c r="Z292" s="50">
        <v>32.299999999999997</v>
      </c>
      <c r="AA292" s="50">
        <v>5.03</v>
      </c>
      <c r="AB292" s="50"/>
      <c r="AC292" s="50"/>
      <c r="AD292" s="50"/>
      <c r="AE292" s="50"/>
      <c r="AF292" s="50"/>
      <c r="AG292" s="50"/>
      <c r="AH292" s="50"/>
      <c r="AI292" s="50"/>
      <c r="AJ292" s="50"/>
    </row>
    <row r="293" spans="1:36" ht="15" customHeight="1" x14ac:dyDescent="0.25">
      <c r="A293" s="50">
        <v>59</v>
      </c>
      <c r="B293" s="50" t="s">
        <v>924</v>
      </c>
      <c r="C293" s="50" t="s">
        <v>1357</v>
      </c>
      <c r="D293" s="50">
        <v>39</v>
      </c>
      <c r="E293" s="50" t="s">
        <v>1360</v>
      </c>
      <c r="F293" s="50">
        <v>4</v>
      </c>
      <c r="G293" s="50">
        <v>6.9</v>
      </c>
      <c r="H293" s="50">
        <v>35</v>
      </c>
      <c r="I293" s="50">
        <v>3.11</v>
      </c>
      <c r="J293" s="50">
        <v>92</v>
      </c>
      <c r="K293" s="50">
        <v>92</v>
      </c>
      <c r="L293" s="50">
        <v>5.9</v>
      </c>
      <c r="M293" s="50">
        <v>6.32</v>
      </c>
      <c r="N293" s="50">
        <v>38</v>
      </c>
      <c r="O293" s="50">
        <v>11.5</v>
      </c>
      <c r="P293" s="50">
        <v>13.7</v>
      </c>
      <c r="Q293" s="50">
        <v>56.7</v>
      </c>
      <c r="R293" s="50">
        <v>42</v>
      </c>
      <c r="S293" s="50">
        <v>19.899999999999999</v>
      </c>
      <c r="T293" s="50">
        <v>55</v>
      </c>
      <c r="U293" s="50">
        <v>7.38</v>
      </c>
      <c r="V293" s="50">
        <v>59.8</v>
      </c>
      <c r="W293" s="50">
        <v>56</v>
      </c>
      <c r="X293" s="50">
        <v>376</v>
      </c>
      <c r="Y293" s="50">
        <v>15.09</v>
      </c>
      <c r="Z293" s="50">
        <v>35.200000000000003</v>
      </c>
      <c r="AA293" s="50">
        <v>5.19</v>
      </c>
      <c r="AB293" s="50"/>
      <c r="AC293" s="50"/>
      <c r="AD293" s="50"/>
      <c r="AE293" s="50"/>
      <c r="AF293" s="50"/>
      <c r="AG293" s="50"/>
      <c r="AH293" s="50"/>
      <c r="AI293" s="50"/>
      <c r="AJ293" s="50"/>
    </row>
    <row r="294" spans="1:36" ht="15" customHeight="1" x14ac:dyDescent="0.25">
      <c r="A294" s="50">
        <v>59</v>
      </c>
      <c r="B294" s="50" t="s">
        <v>924</v>
      </c>
      <c r="C294" s="50" t="s">
        <v>1357</v>
      </c>
      <c r="D294" s="50">
        <v>39</v>
      </c>
      <c r="E294" s="50" t="s">
        <v>1360</v>
      </c>
      <c r="F294" s="50">
        <v>8</v>
      </c>
      <c r="G294" s="50">
        <v>5.8</v>
      </c>
      <c r="H294" s="50">
        <v>31</v>
      </c>
      <c r="I294" s="50">
        <v>2.76</v>
      </c>
      <c r="J294" s="50">
        <v>97</v>
      </c>
      <c r="K294" s="50">
        <v>84</v>
      </c>
      <c r="L294" s="50">
        <v>5.17</v>
      </c>
      <c r="M294" s="50">
        <v>5.43</v>
      </c>
      <c r="N294" s="50">
        <v>36</v>
      </c>
      <c r="O294" s="50">
        <v>11.3</v>
      </c>
      <c r="P294" s="50">
        <v>10.9</v>
      </c>
      <c r="Q294" s="50">
        <v>46.9</v>
      </c>
      <c r="R294" s="50">
        <v>48.7</v>
      </c>
      <c r="S294" s="50">
        <v>24</v>
      </c>
      <c r="T294" s="50">
        <v>51</v>
      </c>
      <c r="U294" s="50">
        <v>6.49</v>
      </c>
      <c r="V294" s="50">
        <v>62.5</v>
      </c>
      <c r="W294" s="50">
        <v>60</v>
      </c>
      <c r="X294" s="50">
        <v>409</v>
      </c>
      <c r="Y294" s="50">
        <v>14.17</v>
      </c>
      <c r="Z294" s="50">
        <v>36.4</v>
      </c>
      <c r="AA294" s="50">
        <v>5.45</v>
      </c>
      <c r="AB294" s="50"/>
      <c r="AC294" s="50"/>
      <c r="AD294" s="50"/>
      <c r="AE294" s="50"/>
      <c r="AF294" s="50"/>
      <c r="AG294" s="50"/>
      <c r="AH294" s="50"/>
      <c r="AI294" s="50"/>
      <c r="AJ294" s="50"/>
    </row>
    <row r="295" spans="1:36" ht="15" customHeight="1" x14ac:dyDescent="0.25">
      <c r="A295" s="50">
        <v>59</v>
      </c>
      <c r="B295" s="50" t="s">
        <v>924</v>
      </c>
      <c r="C295" s="50" t="s">
        <v>1357</v>
      </c>
      <c r="D295" s="50">
        <v>39</v>
      </c>
      <c r="E295" s="50" t="s">
        <v>1360</v>
      </c>
      <c r="F295" s="50">
        <v>12</v>
      </c>
      <c r="G295" s="50">
        <v>5.3</v>
      </c>
      <c r="H295" s="50">
        <v>30</v>
      </c>
      <c r="I295" s="50">
        <v>2.4700000000000002</v>
      </c>
      <c r="J295" s="50">
        <v>101</v>
      </c>
      <c r="K295" s="50">
        <v>76</v>
      </c>
      <c r="L295" s="50">
        <v>4.6100000000000003</v>
      </c>
      <c r="M295" s="50">
        <v>5.0599999999999996</v>
      </c>
      <c r="N295" s="50">
        <v>33</v>
      </c>
      <c r="O295" s="50">
        <v>10.199999999999999</v>
      </c>
      <c r="P295" s="50">
        <v>12.5</v>
      </c>
      <c r="Q295" s="50">
        <v>47.6</v>
      </c>
      <c r="R295" s="50">
        <v>51.9</v>
      </c>
      <c r="S295" s="50">
        <v>23.3</v>
      </c>
      <c r="T295" s="50">
        <v>58</v>
      </c>
      <c r="U295" s="50">
        <v>7.42</v>
      </c>
      <c r="V295" s="50">
        <v>61.3</v>
      </c>
      <c r="W295" s="50">
        <v>61</v>
      </c>
      <c r="X295" s="50">
        <v>431</v>
      </c>
      <c r="Y295" s="50">
        <v>13.49</v>
      </c>
      <c r="Z295" s="50">
        <v>36.5</v>
      </c>
      <c r="AA295" s="50">
        <v>5.74</v>
      </c>
      <c r="AB295" s="50"/>
      <c r="AC295" s="50"/>
      <c r="AD295" s="50"/>
      <c r="AE295" s="50"/>
      <c r="AF295" s="50"/>
      <c r="AG295" s="50"/>
      <c r="AH295" s="50"/>
      <c r="AI295" s="50"/>
      <c r="AJ295" s="50"/>
    </row>
    <row r="296" spans="1:36" ht="15" customHeight="1" x14ac:dyDescent="0.25">
      <c r="A296" s="50">
        <v>59</v>
      </c>
      <c r="B296" s="50" t="s">
        <v>924</v>
      </c>
      <c r="C296" s="50" t="s">
        <v>1357</v>
      </c>
      <c r="D296" s="50">
        <v>39</v>
      </c>
      <c r="E296" s="50" t="s">
        <v>1360</v>
      </c>
      <c r="F296" s="50">
        <v>21</v>
      </c>
      <c r="G296" s="50">
        <v>3.3</v>
      </c>
      <c r="H296" s="50">
        <v>24</v>
      </c>
      <c r="I296" s="50">
        <v>1.89</v>
      </c>
      <c r="J296" s="50">
        <v>111</v>
      </c>
      <c r="K296" s="50">
        <v>58</v>
      </c>
      <c r="L296" s="50">
        <v>3.01</v>
      </c>
      <c r="M296" s="50">
        <v>4.0999999999999996</v>
      </c>
      <c r="N296" s="50">
        <v>28</v>
      </c>
      <c r="O296" s="50">
        <v>9.1</v>
      </c>
      <c r="P296" s="50">
        <v>10.7</v>
      </c>
      <c r="Q296" s="50">
        <v>33.9</v>
      </c>
      <c r="R296" s="50">
        <v>59</v>
      </c>
      <c r="S296" s="50">
        <v>32</v>
      </c>
      <c r="T296" s="50">
        <v>63</v>
      </c>
      <c r="U296" s="50">
        <v>5.69</v>
      </c>
      <c r="V296" s="50">
        <v>67.400000000000006</v>
      </c>
      <c r="W296" s="50">
        <v>72</v>
      </c>
      <c r="X296" s="50">
        <v>487</v>
      </c>
      <c r="Y296" s="50">
        <v>11.15</v>
      </c>
      <c r="Z296" s="50">
        <v>42.3</v>
      </c>
      <c r="AA296" s="50">
        <v>6.06</v>
      </c>
      <c r="AB296" s="50"/>
      <c r="AC296" s="50"/>
      <c r="AD296" s="50"/>
      <c r="AE296" s="50"/>
      <c r="AF296" s="50"/>
      <c r="AG296" s="50"/>
      <c r="AH296" s="50"/>
      <c r="AI296" s="50"/>
      <c r="AJ296" s="50"/>
    </row>
    <row r="297" spans="1:36" ht="15" customHeight="1" x14ac:dyDescent="0.25">
      <c r="A297" s="50">
        <v>60</v>
      </c>
      <c r="B297" s="50" t="s">
        <v>924</v>
      </c>
      <c r="C297" s="50" t="s">
        <v>1357</v>
      </c>
      <c r="D297" s="50">
        <v>40</v>
      </c>
      <c r="E297" s="50" t="s">
        <v>1353</v>
      </c>
      <c r="F297" s="50">
        <v>0</v>
      </c>
      <c r="G297" s="50">
        <v>6.5</v>
      </c>
      <c r="H297" s="50">
        <v>30</v>
      </c>
      <c r="I297" s="50">
        <v>3.76</v>
      </c>
      <c r="J297" s="50">
        <v>96</v>
      </c>
      <c r="K297" s="50">
        <v>100</v>
      </c>
      <c r="L297" s="50">
        <v>6.5</v>
      </c>
      <c r="M297" s="50">
        <v>5.72</v>
      </c>
      <c r="N297" s="50">
        <v>50</v>
      </c>
      <c r="O297" s="50">
        <v>15.1</v>
      </c>
      <c r="P297" s="50">
        <v>13</v>
      </c>
      <c r="Q297" s="50">
        <v>53.6</v>
      </c>
      <c r="R297" s="50">
        <v>29.6</v>
      </c>
      <c r="S297" s="50">
        <v>26.3</v>
      </c>
      <c r="T297" s="50">
        <v>45</v>
      </c>
      <c r="U297" s="50">
        <v>5.95</v>
      </c>
      <c r="V297" s="50">
        <v>63.5</v>
      </c>
      <c r="W297" s="50">
        <v>35</v>
      </c>
      <c r="X297" s="50">
        <v>348</v>
      </c>
      <c r="Y297" s="50">
        <v>18.920000000000002</v>
      </c>
      <c r="Z297" s="50">
        <v>28.9</v>
      </c>
      <c r="AA297" s="50">
        <v>3.82</v>
      </c>
      <c r="AB297" s="50"/>
      <c r="AC297" s="50"/>
      <c r="AD297" s="50"/>
      <c r="AE297" s="50"/>
      <c r="AF297" s="50"/>
      <c r="AG297" s="50"/>
      <c r="AH297" s="50"/>
      <c r="AI297" s="50"/>
      <c r="AJ297" s="50"/>
    </row>
    <row r="298" spans="1:36" ht="15" customHeight="1" x14ac:dyDescent="0.25">
      <c r="A298" s="50">
        <v>60</v>
      </c>
      <c r="B298" s="50" t="s">
        <v>924</v>
      </c>
      <c r="C298" s="50" t="s">
        <v>1357</v>
      </c>
      <c r="D298" s="50">
        <v>40</v>
      </c>
      <c r="E298" s="50" t="s">
        <v>1353</v>
      </c>
      <c r="F298" s="50">
        <v>4</v>
      </c>
      <c r="G298" s="50">
        <v>6.2</v>
      </c>
      <c r="H298" s="50">
        <v>29</v>
      </c>
      <c r="I298" s="50">
        <v>3.4</v>
      </c>
      <c r="J298" s="50">
        <v>97</v>
      </c>
      <c r="K298" s="50">
        <v>92</v>
      </c>
      <c r="L298" s="50">
        <v>6.35</v>
      </c>
      <c r="M298" s="50">
        <v>5.52</v>
      </c>
      <c r="N298" s="50">
        <v>50</v>
      </c>
      <c r="O298" s="50">
        <v>14.5</v>
      </c>
      <c r="P298" s="50">
        <v>12.2</v>
      </c>
      <c r="Q298" s="50">
        <v>52</v>
      </c>
      <c r="R298" s="50">
        <v>32.299999999999997</v>
      </c>
      <c r="S298" s="50">
        <v>26.9</v>
      </c>
      <c r="T298" s="50">
        <v>50</v>
      </c>
      <c r="U298" s="50">
        <v>4.9400000000000004</v>
      </c>
      <c r="V298" s="50">
        <v>64.400000000000006</v>
      </c>
      <c r="W298" s="50">
        <v>35</v>
      </c>
      <c r="X298" s="50">
        <v>359</v>
      </c>
      <c r="Y298" s="50">
        <v>18.7</v>
      </c>
      <c r="Z298" s="50">
        <v>28.6</v>
      </c>
      <c r="AA298" s="50">
        <v>3.91</v>
      </c>
      <c r="AB298" s="50"/>
      <c r="AC298" s="50"/>
      <c r="AD298" s="50"/>
      <c r="AE298" s="50"/>
      <c r="AF298" s="50"/>
      <c r="AG298" s="50"/>
      <c r="AH298" s="50"/>
      <c r="AI298" s="50"/>
      <c r="AJ298" s="50"/>
    </row>
    <row r="299" spans="1:36" ht="15" customHeight="1" x14ac:dyDescent="0.25">
      <c r="A299" s="50">
        <v>60</v>
      </c>
      <c r="B299" s="50" t="s">
        <v>924</v>
      </c>
      <c r="C299" s="50" t="s">
        <v>1357</v>
      </c>
      <c r="D299" s="50">
        <v>40</v>
      </c>
      <c r="E299" s="50" t="s">
        <v>1353</v>
      </c>
      <c r="F299" s="50">
        <v>8</v>
      </c>
      <c r="G299" s="50">
        <v>5.0999999999999996</v>
      </c>
      <c r="H299" s="50">
        <v>27</v>
      </c>
      <c r="I299" s="50">
        <v>3.14</v>
      </c>
      <c r="J299" s="50">
        <v>103</v>
      </c>
      <c r="K299" s="50">
        <v>84</v>
      </c>
      <c r="L299" s="50">
        <v>5.28</v>
      </c>
      <c r="M299" s="50">
        <v>4.8600000000000003</v>
      </c>
      <c r="N299" s="50">
        <v>44</v>
      </c>
      <c r="O299" s="50">
        <v>12.7</v>
      </c>
      <c r="P299" s="50">
        <v>11.3</v>
      </c>
      <c r="Q299" s="50">
        <v>41.6</v>
      </c>
      <c r="R299" s="50">
        <v>41.9</v>
      </c>
      <c r="S299" s="50">
        <v>30.6</v>
      </c>
      <c r="T299" s="50">
        <v>54</v>
      </c>
      <c r="U299" s="50">
        <v>5.03</v>
      </c>
      <c r="V299" s="50">
        <v>65.099999999999994</v>
      </c>
      <c r="W299" s="50">
        <v>41</v>
      </c>
      <c r="X299" s="50">
        <v>382</v>
      </c>
      <c r="Y299" s="50">
        <v>16.440000000000001</v>
      </c>
      <c r="Z299" s="50">
        <v>33.700000000000003</v>
      </c>
      <c r="AA299" s="50">
        <v>4.47</v>
      </c>
      <c r="AB299" s="50"/>
      <c r="AC299" s="50"/>
      <c r="AD299" s="50"/>
      <c r="AE299" s="50"/>
      <c r="AF299" s="50"/>
      <c r="AG299" s="50"/>
      <c r="AH299" s="50"/>
      <c r="AI299" s="50"/>
      <c r="AJ299" s="50"/>
    </row>
    <row r="300" spans="1:36" ht="15" customHeight="1" x14ac:dyDescent="0.25">
      <c r="A300" s="50">
        <v>60</v>
      </c>
      <c r="B300" s="50" t="s">
        <v>924</v>
      </c>
      <c r="C300" s="50" t="s">
        <v>1357</v>
      </c>
      <c r="D300" s="50">
        <v>40</v>
      </c>
      <c r="E300" s="50" t="s">
        <v>1353</v>
      </c>
      <c r="F300" s="50">
        <v>12</v>
      </c>
      <c r="G300" s="50">
        <v>4.5999999999999996</v>
      </c>
      <c r="H300" s="50">
        <v>23</v>
      </c>
      <c r="I300" s="50">
        <v>2.73</v>
      </c>
      <c r="J300" s="50">
        <v>103</v>
      </c>
      <c r="K300" s="50">
        <v>76</v>
      </c>
      <c r="L300" s="50">
        <v>4.97</v>
      </c>
      <c r="M300" s="50">
        <v>4.29</v>
      </c>
      <c r="N300" s="50">
        <v>43</v>
      </c>
      <c r="O300" s="50">
        <v>11.7</v>
      </c>
      <c r="P300" s="50">
        <v>11</v>
      </c>
      <c r="Q300" s="50">
        <v>38.200000000000003</v>
      </c>
      <c r="R300" s="50">
        <v>46</v>
      </c>
      <c r="S300" s="50">
        <v>31.4</v>
      </c>
      <c r="T300" s="50">
        <v>57</v>
      </c>
      <c r="U300" s="50">
        <v>4.03</v>
      </c>
      <c r="V300" s="50">
        <v>67.7</v>
      </c>
      <c r="W300" s="50">
        <v>41</v>
      </c>
      <c r="X300" s="50">
        <v>404</v>
      </c>
      <c r="Y300" s="50">
        <v>15.46</v>
      </c>
      <c r="Z300" s="50">
        <v>33.299999999999997</v>
      </c>
      <c r="AA300" s="50">
        <v>4.92</v>
      </c>
      <c r="AB300" s="50"/>
      <c r="AC300" s="50"/>
      <c r="AD300" s="50"/>
      <c r="AE300" s="50"/>
      <c r="AF300" s="50"/>
      <c r="AG300" s="50"/>
      <c r="AH300" s="50"/>
      <c r="AI300" s="50"/>
      <c r="AJ300" s="50"/>
    </row>
    <row r="301" spans="1:36" ht="15" customHeight="1" x14ac:dyDescent="0.25">
      <c r="A301" s="50">
        <v>60</v>
      </c>
      <c r="B301" s="50" t="s">
        <v>924</v>
      </c>
      <c r="C301" s="50" t="s">
        <v>1357</v>
      </c>
      <c r="D301" s="50">
        <v>40</v>
      </c>
      <c r="E301" s="50" t="s">
        <v>1353</v>
      </c>
      <c r="F301" s="50">
        <v>21</v>
      </c>
      <c r="G301" s="50">
        <v>3</v>
      </c>
      <c r="H301" s="50">
        <v>16</v>
      </c>
      <c r="I301" s="50">
        <v>2.08</v>
      </c>
      <c r="J301" s="50">
        <v>113</v>
      </c>
      <c r="K301" s="50">
        <v>58</v>
      </c>
      <c r="L301" s="50">
        <v>3.36</v>
      </c>
      <c r="M301" s="50">
        <v>3.25</v>
      </c>
      <c r="N301" s="50">
        <v>36</v>
      </c>
      <c r="O301" s="50">
        <v>9.4</v>
      </c>
      <c r="P301" s="50">
        <v>8.6999999999999993</v>
      </c>
      <c r="Q301" s="50">
        <v>26.1</v>
      </c>
      <c r="R301" s="50">
        <v>62</v>
      </c>
      <c r="S301" s="50">
        <v>39.6</v>
      </c>
      <c r="T301" s="50">
        <v>63</v>
      </c>
      <c r="U301" s="50">
        <v>3.75</v>
      </c>
      <c r="V301" s="50">
        <v>74.2</v>
      </c>
      <c r="W301" s="50">
        <v>51</v>
      </c>
      <c r="X301" s="50">
        <v>463</v>
      </c>
      <c r="Y301" s="50">
        <v>13.49</v>
      </c>
      <c r="Z301" s="50">
        <v>39.5</v>
      </c>
      <c r="AA301" s="50">
        <v>5.48</v>
      </c>
      <c r="AB301" s="50"/>
      <c r="AC301" s="50"/>
      <c r="AD301" s="50"/>
      <c r="AE301" s="50"/>
      <c r="AF301" s="50"/>
      <c r="AG301" s="50"/>
      <c r="AH301" s="50"/>
      <c r="AI301" s="50"/>
      <c r="AJ301" s="50"/>
    </row>
    <row r="302" spans="1:36" ht="15" customHeight="1" x14ac:dyDescent="0.25">
      <c r="A302" s="50">
        <v>61</v>
      </c>
      <c r="B302" s="50" t="s">
        <v>924</v>
      </c>
      <c r="C302" s="50" t="s">
        <v>1352</v>
      </c>
      <c r="D302" s="50">
        <v>34</v>
      </c>
      <c r="E302" s="50" t="s">
        <v>1360</v>
      </c>
      <c r="F302" s="50">
        <v>0</v>
      </c>
      <c r="G302" s="50">
        <v>6.7</v>
      </c>
      <c r="H302" s="50">
        <v>54</v>
      </c>
      <c r="I302" s="50">
        <v>4.53</v>
      </c>
      <c r="J302" s="50">
        <v>84</v>
      </c>
      <c r="K302" s="50">
        <v>100</v>
      </c>
      <c r="L302" s="50">
        <v>6.93</v>
      </c>
      <c r="M302" s="50">
        <v>6.57</v>
      </c>
      <c r="N302" s="50">
        <v>53</v>
      </c>
      <c r="O302" s="50">
        <v>14.2</v>
      </c>
      <c r="P302" s="50">
        <v>7.5</v>
      </c>
      <c r="Q302" s="50">
        <v>39</v>
      </c>
      <c r="R302" s="50">
        <v>35.700000000000003</v>
      </c>
      <c r="S302" s="50">
        <v>20.9</v>
      </c>
      <c r="T302" s="50">
        <v>42</v>
      </c>
      <c r="U302" s="50">
        <v>10.5</v>
      </c>
      <c r="V302" s="50">
        <v>59.7</v>
      </c>
      <c r="W302" s="50">
        <v>46</v>
      </c>
      <c r="X302" s="50">
        <v>405</v>
      </c>
      <c r="Y302" s="50">
        <v>15.03</v>
      </c>
      <c r="Z302" s="50">
        <v>23.3</v>
      </c>
      <c r="AA302" s="50">
        <v>5.82</v>
      </c>
      <c r="AB302" s="50"/>
      <c r="AC302" s="50"/>
      <c r="AD302" s="50"/>
      <c r="AE302" s="50"/>
      <c r="AF302" s="50"/>
      <c r="AG302" s="50"/>
      <c r="AH302" s="50"/>
      <c r="AI302" s="50"/>
      <c r="AJ302" s="50"/>
    </row>
    <row r="303" spans="1:36" ht="15" customHeight="1" x14ac:dyDescent="0.25">
      <c r="A303" s="50">
        <v>61</v>
      </c>
      <c r="B303" s="50" t="s">
        <v>924</v>
      </c>
      <c r="C303" s="50" t="s">
        <v>1352</v>
      </c>
      <c r="D303" s="50">
        <v>34</v>
      </c>
      <c r="E303" s="50" t="s">
        <v>1360</v>
      </c>
      <c r="F303" s="50">
        <v>4</v>
      </c>
      <c r="G303" s="50">
        <v>6</v>
      </c>
      <c r="H303" s="50">
        <v>50</v>
      </c>
      <c r="I303" s="50">
        <v>4.13</v>
      </c>
      <c r="J303" s="50">
        <v>86</v>
      </c>
      <c r="K303" s="50">
        <v>92</v>
      </c>
      <c r="L303" s="50">
        <v>6.12</v>
      </c>
      <c r="M303" s="50">
        <v>6.26</v>
      </c>
      <c r="N303" s="50">
        <v>46</v>
      </c>
      <c r="O303" s="50">
        <v>13.6</v>
      </c>
      <c r="P303" s="50">
        <v>7.6</v>
      </c>
      <c r="Q303" s="50">
        <v>34.5</v>
      </c>
      <c r="R303" s="50">
        <v>42.5</v>
      </c>
      <c r="S303" s="50">
        <v>22.4</v>
      </c>
      <c r="T303" s="50">
        <v>44</v>
      </c>
      <c r="U303" s="50">
        <v>11.12</v>
      </c>
      <c r="V303" s="50">
        <v>60.8</v>
      </c>
      <c r="W303" s="50">
        <v>50</v>
      </c>
      <c r="X303" s="50">
        <v>424</v>
      </c>
      <c r="Y303" s="50">
        <v>14.51</v>
      </c>
      <c r="Z303" s="50">
        <v>24.4</v>
      </c>
      <c r="AA303" s="50">
        <v>5.92</v>
      </c>
      <c r="AB303" s="50"/>
      <c r="AC303" s="50"/>
      <c r="AD303" s="50"/>
      <c r="AE303" s="50"/>
      <c r="AF303" s="50"/>
      <c r="AG303" s="50"/>
      <c r="AH303" s="50"/>
      <c r="AI303" s="50"/>
      <c r="AJ303" s="50"/>
    </row>
    <row r="304" spans="1:36" ht="15" customHeight="1" x14ac:dyDescent="0.25">
      <c r="A304" s="50">
        <v>61</v>
      </c>
      <c r="B304" s="50" t="s">
        <v>924</v>
      </c>
      <c r="C304" s="50" t="s">
        <v>1352</v>
      </c>
      <c r="D304" s="50">
        <v>34</v>
      </c>
      <c r="E304" s="50" t="s">
        <v>1360</v>
      </c>
      <c r="F304" s="50">
        <v>8</v>
      </c>
      <c r="G304" s="50">
        <v>5.6</v>
      </c>
      <c r="H304" s="50">
        <v>48</v>
      </c>
      <c r="I304" s="50">
        <v>3.76</v>
      </c>
      <c r="J304" s="50">
        <v>91</v>
      </c>
      <c r="K304" s="50">
        <v>84</v>
      </c>
      <c r="L304" s="50">
        <v>5.93</v>
      </c>
      <c r="M304" s="50">
        <v>5.71</v>
      </c>
      <c r="N304" s="50">
        <v>42</v>
      </c>
      <c r="O304" s="50">
        <v>12</v>
      </c>
      <c r="P304" s="50">
        <v>7.4</v>
      </c>
      <c r="Q304" s="50">
        <v>35.6</v>
      </c>
      <c r="R304" s="50">
        <v>42.9</v>
      </c>
      <c r="S304" s="50">
        <v>24.5</v>
      </c>
      <c r="T304" s="50">
        <v>44</v>
      </c>
      <c r="U304" s="50">
        <v>10.039999999999999</v>
      </c>
      <c r="V304" s="50">
        <v>62</v>
      </c>
      <c r="W304" s="50">
        <v>52</v>
      </c>
      <c r="X304" s="50">
        <v>430</v>
      </c>
      <c r="Y304" s="50">
        <v>13.18</v>
      </c>
      <c r="Z304" s="50">
        <v>26.2</v>
      </c>
      <c r="AA304" s="50">
        <v>6.13</v>
      </c>
      <c r="AB304" s="50"/>
      <c r="AC304" s="50"/>
      <c r="AD304" s="50"/>
      <c r="AE304" s="50"/>
      <c r="AF304" s="50"/>
      <c r="AG304" s="50"/>
      <c r="AH304" s="50"/>
      <c r="AI304" s="50"/>
      <c r="AJ304" s="50"/>
    </row>
    <row r="305" spans="1:36" ht="15" customHeight="1" x14ac:dyDescent="0.25">
      <c r="A305" s="50">
        <v>61</v>
      </c>
      <c r="B305" s="50" t="s">
        <v>924</v>
      </c>
      <c r="C305" s="50" t="s">
        <v>1352</v>
      </c>
      <c r="D305" s="50">
        <v>34</v>
      </c>
      <c r="E305" s="50" t="s">
        <v>1360</v>
      </c>
      <c r="F305" s="50">
        <v>12</v>
      </c>
      <c r="G305" s="50">
        <v>5.0999999999999996</v>
      </c>
      <c r="H305" s="50">
        <v>43</v>
      </c>
      <c r="I305" s="50">
        <v>3.36</v>
      </c>
      <c r="J305" s="50">
        <v>93</v>
      </c>
      <c r="K305" s="50">
        <v>76</v>
      </c>
      <c r="L305" s="50">
        <v>5.23</v>
      </c>
      <c r="M305" s="50">
        <v>5.75</v>
      </c>
      <c r="N305" s="50">
        <v>44</v>
      </c>
      <c r="O305" s="50">
        <v>12.4</v>
      </c>
      <c r="P305" s="50">
        <v>7.9</v>
      </c>
      <c r="Q305" s="50">
        <v>30.7</v>
      </c>
      <c r="R305" s="50">
        <v>45.8</v>
      </c>
      <c r="S305" s="50">
        <v>25.6</v>
      </c>
      <c r="T305" s="50">
        <v>47</v>
      </c>
      <c r="U305" s="50">
        <v>9.1</v>
      </c>
      <c r="V305" s="50">
        <v>62.1</v>
      </c>
      <c r="W305" s="50">
        <v>54</v>
      </c>
      <c r="X305" s="50">
        <v>449</v>
      </c>
      <c r="Y305" s="50">
        <v>13.61</v>
      </c>
      <c r="Z305" s="50">
        <v>28.7</v>
      </c>
      <c r="AA305" s="50">
        <v>5.65</v>
      </c>
      <c r="AB305" s="50"/>
      <c r="AC305" s="50"/>
      <c r="AD305" s="50"/>
      <c r="AE305" s="50"/>
      <c r="AF305" s="50"/>
      <c r="AG305" s="50"/>
      <c r="AH305" s="50"/>
      <c r="AI305" s="50"/>
      <c r="AJ305" s="50"/>
    </row>
    <row r="306" spans="1:36" ht="15" customHeight="1" x14ac:dyDescent="0.25">
      <c r="A306" s="50">
        <v>61</v>
      </c>
      <c r="B306" s="50" t="s">
        <v>924</v>
      </c>
      <c r="C306" s="50" t="s">
        <v>1352</v>
      </c>
      <c r="D306" s="50">
        <v>34</v>
      </c>
      <c r="E306" s="50" t="s">
        <v>1360</v>
      </c>
      <c r="F306" s="50">
        <v>21</v>
      </c>
      <c r="G306" s="50">
        <v>2.9</v>
      </c>
      <c r="H306" s="50">
        <v>36</v>
      </c>
      <c r="I306" s="50">
        <v>2.52</v>
      </c>
      <c r="J306" s="50">
        <v>106</v>
      </c>
      <c r="K306" s="50">
        <v>58</v>
      </c>
      <c r="L306" s="50">
        <v>2.89</v>
      </c>
      <c r="M306" s="50">
        <v>3.65</v>
      </c>
      <c r="N306" s="50">
        <v>27</v>
      </c>
      <c r="O306" s="50">
        <v>9.1999999999999993</v>
      </c>
      <c r="P306" s="50">
        <v>7.6</v>
      </c>
      <c r="Q306" s="50">
        <v>21.5</v>
      </c>
      <c r="R306" s="50">
        <v>61.7</v>
      </c>
      <c r="S306" s="50">
        <v>35.1</v>
      </c>
      <c r="T306" s="50">
        <v>67</v>
      </c>
      <c r="U306" s="50">
        <v>6.7</v>
      </c>
      <c r="V306" s="50">
        <v>67.3</v>
      </c>
      <c r="W306" s="50">
        <v>72</v>
      </c>
      <c r="X306" s="50">
        <v>482</v>
      </c>
      <c r="Y306" s="50">
        <v>10.32</v>
      </c>
      <c r="Z306" s="50">
        <v>33.6</v>
      </c>
      <c r="AA306" s="50">
        <v>6.28</v>
      </c>
      <c r="AB306" s="50"/>
      <c r="AC306" s="50"/>
      <c r="AD306" s="50"/>
      <c r="AE306" s="50"/>
      <c r="AF306" s="50"/>
      <c r="AG306" s="50"/>
      <c r="AH306" s="50"/>
      <c r="AI306" s="50"/>
      <c r="AJ306" s="50"/>
    </row>
    <row r="307" spans="1:36" ht="15" customHeight="1" x14ac:dyDescent="0.25">
      <c r="A307" s="50">
        <v>62</v>
      </c>
      <c r="B307" s="50" t="s">
        <v>924</v>
      </c>
      <c r="C307" s="50" t="s">
        <v>1352</v>
      </c>
      <c r="D307" s="50">
        <v>33</v>
      </c>
      <c r="E307" s="50" t="s">
        <v>1360</v>
      </c>
      <c r="F307" s="50">
        <v>0</v>
      </c>
      <c r="G307" s="50">
        <v>6.8</v>
      </c>
      <c r="H307" s="50">
        <v>46</v>
      </c>
      <c r="I307" s="50">
        <v>3.63</v>
      </c>
      <c r="J307" s="50">
        <v>120</v>
      </c>
      <c r="K307" s="50">
        <v>100</v>
      </c>
      <c r="L307" s="50">
        <v>6.79</v>
      </c>
      <c r="M307" s="50">
        <v>7.47</v>
      </c>
      <c r="N307" s="50">
        <v>40</v>
      </c>
      <c r="O307" s="50">
        <v>13.1</v>
      </c>
      <c r="P307" s="50">
        <v>11.1</v>
      </c>
      <c r="Q307" s="50">
        <v>35.6</v>
      </c>
      <c r="R307" s="50">
        <v>40.6</v>
      </c>
      <c r="S307" s="50">
        <v>20</v>
      </c>
      <c r="T307" s="50">
        <v>29</v>
      </c>
      <c r="U307" s="50">
        <v>14.78</v>
      </c>
      <c r="V307" s="50">
        <v>63.7</v>
      </c>
      <c r="W307" s="50">
        <v>63</v>
      </c>
      <c r="X307" s="50">
        <v>359</v>
      </c>
      <c r="Y307" s="50">
        <v>13.81</v>
      </c>
      <c r="Z307" s="50">
        <v>26.4</v>
      </c>
      <c r="AA307" s="50">
        <v>4.9400000000000004</v>
      </c>
      <c r="AB307" s="50"/>
      <c r="AC307" s="50"/>
      <c r="AD307" s="50"/>
      <c r="AE307" s="50"/>
      <c r="AF307" s="50"/>
      <c r="AG307" s="50"/>
      <c r="AH307" s="50"/>
      <c r="AI307" s="50"/>
      <c r="AJ307" s="50"/>
    </row>
    <row r="308" spans="1:36" ht="15" customHeight="1" x14ac:dyDescent="0.25">
      <c r="A308" s="50">
        <v>62</v>
      </c>
      <c r="B308" s="50" t="s">
        <v>924</v>
      </c>
      <c r="C308" s="50" t="s">
        <v>1352</v>
      </c>
      <c r="D308" s="50">
        <v>33</v>
      </c>
      <c r="E308" s="50" t="s">
        <v>1360</v>
      </c>
      <c r="F308" s="50">
        <v>4</v>
      </c>
      <c r="G308" s="50">
        <v>6</v>
      </c>
      <c r="H308" s="50">
        <v>46</v>
      </c>
      <c r="I308" s="50">
        <v>3.46</v>
      </c>
      <c r="J308" s="50">
        <v>122</v>
      </c>
      <c r="K308" s="50">
        <v>92</v>
      </c>
      <c r="L308" s="50">
        <v>6.2</v>
      </c>
      <c r="M308" s="50">
        <v>6.7</v>
      </c>
      <c r="N308" s="50">
        <v>38</v>
      </c>
      <c r="O308" s="50">
        <v>12.2</v>
      </c>
      <c r="P308" s="50">
        <v>11.5</v>
      </c>
      <c r="Q308" s="50">
        <v>33.5</v>
      </c>
      <c r="R308" s="50">
        <v>41.2</v>
      </c>
      <c r="S308" s="50">
        <v>22.1</v>
      </c>
      <c r="T308" s="50">
        <v>36</v>
      </c>
      <c r="U308" s="50">
        <v>12.65</v>
      </c>
      <c r="V308" s="50">
        <v>63</v>
      </c>
      <c r="W308" s="50">
        <v>65</v>
      </c>
      <c r="X308" s="50">
        <v>378</v>
      </c>
      <c r="Y308" s="50">
        <v>13</v>
      </c>
      <c r="Z308" s="50">
        <v>26.9</v>
      </c>
      <c r="AA308" s="50">
        <v>5.3</v>
      </c>
      <c r="AB308" s="50"/>
      <c r="AC308" s="50"/>
      <c r="AD308" s="50"/>
      <c r="AE308" s="50"/>
      <c r="AF308" s="50"/>
      <c r="AG308" s="50"/>
      <c r="AH308" s="50"/>
      <c r="AI308" s="50"/>
      <c r="AJ308" s="50"/>
    </row>
    <row r="309" spans="1:36" ht="15" customHeight="1" x14ac:dyDescent="0.25">
      <c r="A309" s="50">
        <v>62</v>
      </c>
      <c r="B309" s="50" t="s">
        <v>924</v>
      </c>
      <c r="C309" s="50" t="s">
        <v>1352</v>
      </c>
      <c r="D309" s="50">
        <v>33</v>
      </c>
      <c r="E309" s="50" t="s">
        <v>1360</v>
      </c>
      <c r="F309" s="50">
        <v>8</v>
      </c>
      <c r="G309" s="50">
        <v>5.3</v>
      </c>
      <c r="H309" s="50">
        <v>41</v>
      </c>
      <c r="I309" s="50">
        <v>3.11</v>
      </c>
      <c r="J309" s="50">
        <v>129</v>
      </c>
      <c r="K309" s="50">
        <v>84</v>
      </c>
      <c r="L309" s="50">
        <v>5.48</v>
      </c>
      <c r="M309" s="50">
        <v>5.74</v>
      </c>
      <c r="N309" s="50">
        <v>38</v>
      </c>
      <c r="O309" s="50">
        <v>10.6</v>
      </c>
      <c r="P309" s="50">
        <v>10.3</v>
      </c>
      <c r="Q309" s="50">
        <v>31.3</v>
      </c>
      <c r="R309" s="50">
        <v>46</v>
      </c>
      <c r="S309" s="50">
        <v>26.1</v>
      </c>
      <c r="T309" s="50">
        <v>41</v>
      </c>
      <c r="U309" s="50">
        <v>11.25</v>
      </c>
      <c r="V309" s="50">
        <v>65.3</v>
      </c>
      <c r="W309" s="50">
        <v>67</v>
      </c>
      <c r="X309" s="50">
        <v>389</v>
      </c>
      <c r="Y309" s="50">
        <v>11.77</v>
      </c>
      <c r="Z309" s="50">
        <v>29.7</v>
      </c>
      <c r="AA309" s="50">
        <v>5.49</v>
      </c>
      <c r="AB309" s="50"/>
      <c r="AC309" s="50"/>
      <c r="AD309" s="50"/>
      <c r="AE309" s="50"/>
      <c r="AF309" s="50"/>
      <c r="AG309" s="50"/>
      <c r="AH309" s="50"/>
      <c r="AI309" s="50"/>
      <c r="AJ309" s="50"/>
    </row>
    <row r="310" spans="1:36" ht="15" customHeight="1" x14ac:dyDescent="0.25">
      <c r="A310" s="50">
        <v>62</v>
      </c>
      <c r="B310" s="50" t="s">
        <v>924</v>
      </c>
      <c r="C310" s="50" t="s">
        <v>1352</v>
      </c>
      <c r="D310" s="50">
        <v>33</v>
      </c>
      <c r="E310" s="50" t="s">
        <v>1360</v>
      </c>
      <c r="F310" s="50">
        <v>12</v>
      </c>
      <c r="G310" s="50">
        <v>4.5999999999999996</v>
      </c>
      <c r="H310" s="50">
        <v>37</v>
      </c>
      <c r="I310" s="50">
        <v>2.69</v>
      </c>
      <c r="J310" s="50">
        <v>134</v>
      </c>
      <c r="K310" s="50">
        <v>76</v>
      </c>
      <c r="L310" s="50">
        <v>4.91</v>
      </c>
      <c r="M310" s="50">
        <v>5.12</v>
      </c>
      <c r="N310" s="50">
        <v>32</v>
      </c>
      <c r="O310" s="50">
        <v>11.1</v>
      </c>
      <c r="P310" s="50">
        <v>10.4</v>
      </c>
      <c r="Q310" s="50">
        <v>27.3</v>
      </c>
      <c r="R310" s="50">
        <v>48.8</v>
      </c>
      <c r="S310" s="50">
        <v>26.6</v>
      </c>
      <c r="T310" s="50">
        <v>46</v>
      </c>
      <c r="U310" s="50">
        <v>10.31</v>
      </c>
      <c r="V310" s="50">
        <v>62.4</v>
      </c>
      <c r="W310" s="50">
        <v>67</v>
      </c>
      <c r="X310" s="50">
        <v>408</v>
      </c>
      <c r="Y310" s="50">
        <v>12.29</v>
      </c>
      <c r="Z310" s="50">
        <v>33.4</v>
      </c>
      <c r="AA310" s="50">
        <v>5.6</v>
      </c>
      <c r="AB310" s="50"/>
      <c r="AC310" s="50"/>
      <c r="AD310" s="50"/>
      <c r="AE310" s="50"/>
      <c r="AF310" s="50"/>
      <c r="AG310" s="50"/>
      <c r="AH310" s="50"/>
      <c r="AI310" s="50"/>
      <c r="AJ310" s="50"/>
    </row>
    <row r="311" spans="1:36" ht="15" customHeight="1" x14ac:dyDescent="0.25">
      <c r="A311" s="50">
        <v>62</v>
      </c>
      <c r="B311" s="50" t="s">
        <v>924</v>
      </c>
      <c r="C311" s="50" t="s">
        <v>1352</v>
      </c>
      <c r="D311" s="50">
        <v>33</v>
      </c>
      <c r="E311" s="50" t="s">
        <v>1360</v>
      </c>
      <c r="F311" s="50">
        <v>21</v>
      </c>
      <c r="G311" s="50">
        <v>3</v>
      </c>
      <c r="H311" s="50">
        <v>29</v>
      </c>
      <c r="I311" s="50">
        <v>2.0499999999999998</v>
      </c>
      <c r="J311" s="50">
        <v>141</v>
      </c>
      <c r="K311" s="50">
        <v>58</v>
      </c>
      <c r="L311" s="50">
        <v>3.14</v>
      </c>
      <c r="M311" s="50">
        <v>3.2</v>
      </c>
      <c r="N311" s="50">
        <v>29</v>
      </c>
      <c r="O311" s="50">
        <v>9.5</v>
      </c>
      <c r="P311" s="50">
        <v>10.9</v>
      </c>
      <c r="Q311" s="50">
        <v>25.5</v>
      </c>
      <c r="R311" s="50">
        <v>52.2</v>
      </c>
      <c r="S311" s="50">
        <v>38.200000000000003</v>
      </c>
      <c r="T311" s="50">
        <v>62</v>
      </c>
      <c r="U311" s="50">
        <v>7.51</v>
      </c>
      <c r="V311" s="50">
        <v>69.2</v>
      </c>
      <c r="W311" s="50">
        <v>69</v>
      </c>
      <c r="X311" s="50">
        <v>447</v>
      </c>
      <c r="Y311" s="50">
        <v>10.51</v>
      </c>
      <c r="Z311" s="50">
        <v>36.4</v>
      </c>
      <c r="AA311" s="50">
        <v>6.32</v>
      </c>
      <c r="AB311" s="50"/>
      <c r="AC311" s="50"/>
      <c r="AD311" s="50"/>
      <c r="AE311" s="50"/>
      <c r="AF311" s="50"/>
      <c r="AG311" s="50"/>
      <c r="AH311" s="50"/>
      <c r="AI311" s="50"/>
      <c r="AJ311" s="50"/>
    </row>
    <row r="312" spans="1:36" ht="15" customHeight="1" x14ac:dyDescent="0.25">
      <c r="A312" s="50">
        <v>63</v>
      </c>
      <c r="B312" s="50" t="s">
        <v>924</v>
      </c>
      <c r="C312" s="50" t="s">
        <v>1352</v>
      </c>
      <c r="D312" s="50">
        <v>41</v>
      </c>
      <c r="E312" s="50" t="s">
        <v>1355</v>
      </c>
      <c r="F312" s="50">
        <v>0</v>
      </c>
      <c r="G312" s="50">
        <v>6.9</v>
      </c>
      <c r="H312" s="50">
        <v>42</v>
      </c>
      <c r="I312" s="50">
        <v>3.24</v>
      </c>
      <c r="J312" s="50">
        <v>97</v>
      </c>
      <c r="K312" s="50">
        <v>100</v>
      </c>
      <c r="L312" s="50">
        <v>7.03</v>
      </c>
      <c r="M312" s="50">
        <v>5.32</v>
      </c>
      <c r="N312" s="50">
        <v>33</v>
      </c>
      <c r="O312" s="50">
        <v>8.9</v>
      </c>
      <c r="P312" s="50">
        <v>9.1999999999999993</v>
      </c>
      <c r="Q312" s="50">
        <v>52.5</v>
      </c>
      <c r="R312" s="50">
        <v>33.299999999999997</v>
      </c>
      <c r="S312" s="50">
        <v>17.7</v>
      </c>
      <c r="T312" s="50">
        <v>34</v>
      </c>
      <c r="U312" s="50">
        <v>7.9</v>
      </c>
      <c r="V312" s="50">
        <v>53.7</v>
      </c>
      <c r="W312" s="50">
        <v>48</v>
      </c>
      <c r="X312" s="50">
        <v>311</v>
      </c>
      <c r="Y312" s="50">
        <v>12.69</v>
      </c>
      <c r="Z312" s="50">
        <v>14</v>
      </c>
      <c r="AA312" s="50">
        <v>4.42</v>
      </c>
      <c r="AB312" s="50"/>
      <c r="AC312" s="50"/>
      <c r="AD312" s="50"/>
      <c r="AE312" s="50"/>
      <c r="AF312" s="50"/>
      <c r="AG312" s="50"/>
      <c r="AH312" s="50"/>
      <c r="AI312" s="50"/>
      <c r="AJ312" s="50"/>
    </row>
    <row r="313" spans="1:36" ht="15" customHeight="1" x14ac:dyDescent="0.25">
      <c r="A313" s="50">
        <v>63</v>
      </c>
      <c r="B313" s="50" t="s">
        <v>924</v>
      </c>
      <c r="C313" s="50" t="s">
        <v>1352</v>
      </c>
      <c r="D313" s="50">
        <v>41</v>
      </c>
      <c r="E313" s="50" t="s">
        <v>1355</v>
      </c>
      <c r="F313" s="50">
        <v>4</v>
      </c>
      <c r="G313" s="50">
        <v>6.1</v>
      </c>
      <c r="H313" s="50">
        <v>37</v>
      </c>
      <c r="I313" s="50">
        <v>2.84</v>
      </c>
      <c r="J313" s="50">
        <v>106</v>
      </c>
      <c r="K313" s="50">
        <v>92</v>
      </c>
      <c r="L313" s="50">
        <v>6.28</v>
      </c>
      <c r="M313" s="50">
        <v>4.96</v>
      </c>
      <c r="N313" s="50">
        <v>32</v>
      </c>
      <c r="O313" s="50">
        <v>7.8</v>
      </c>
      <c r="P313" s="50">
        <v>9.3000000000000007</v>
      </c>
      <c r="Q313" s="50">
        <v>47.3</v>
      </c>
      <c r="R313" s="50">
        <v>40.9</v>
      </c>
      <c r="S313" s="50">
        <v>20.3</v>
      </c>
      <c r="T313" s="50">
        <v>37</v>
      </c>
      <c r="U313" s="50">
        <v>7.37</v>
      </c>
      <c r="V313" s="50">
        <v>56.7</v>
      </c>
      <c r="W313" s="50">
        <v>50</v>
      </c>
      <c r="X313" s="50">
        <v>347</v>
      </c>
      <c r="Y313" s="50">
        <v>12.12</v>
      </c>
      <c r="Z313" s="50">
        <v>18.7</v>
      </c>
      <c r="AA313" s="50">
        <v>4.6900000000000004</v>
      </c>
      <c r="AB313" s="50"/>
      <c r="AC313" s="50"/>
      <c r="AD313" s="50"/>
      <c r="AE313" s="50"/>
      <c r="AF313" s="50"/>
      <c r="AG313" s="50"/>
      <c r="AH313" s="50"/>
      <c r="AI313" s="50"/>
      <c r="AJ313" s="50"/>
    </row>
    <row r="314" spans="1:36" ht="15" customHeight="1" x14ac:dyDescent="0.25">
      <c r="A314" s="50">
        <v>63</v>
      </c>
      <c r="B314" s="50" t="s">
        <v>924</v>
      </c>
      <c r="C314" s="50" t="s">
        <v>1352</v>
      </c>
      <c r="D314" s="50">
        <v>41</v>
      </c>
      <c r="E314" s="50" t="s">
        <v>1355</v>
      </c>
      <c r="F314" s="50">
        <v>8</v>
      </c>
      <c r="G314" s="50">
        <v>5.3</v>
      </c>
      <c r="H314" s="50">
        <v>35</v>
      </c>
      <c r="I314" s="50">
        <v>2.5</v>
      </c>
      <c r="J314" s="50">
        <v>106</v>
      </c>
      <c r="K314" s="50">
        <v>84</v>
      </c>
      <c r="L314" s="50">
        <v>5.67</v>
      </c>
      <c r="M314" s="50">
        <v>3.96</v>
      </c>
      <c r="N314" s="50">
        <v>30</v>
      </c>
      <c r="O314" s="50">
        <v>7.8</v>
      </c>
      <c r="P314" s="50">
        <v>9.4</v>
      </c>
      <c r="Q314" s="50">
        <v>43.6</v>
      </c>
      <c r="R314" s="50">
        <v>48</v>
      </c>
      <c r="S314" s="50">
        <v>25.4</v>
      </c>
      <c r="T314" s="50">
        <v>44</v>
      </c>
      <c r="U314" s="50">
        <v>6.97</v>
      </c>
      <c r="V314" s="50">
        <v>58.3</v>
      </c>
      <c r="W314" s="50">
        <v>60</v>
      </c>
      <c r="X314" s="50">
        <v>383</v>
      </c>
      <c r="Y314" s="50">
        <v>11.5</v>
      </c>
      <c r="Z314" s="50">
        <v>22.1</v>
      </c>
      <c r="AA314" s="50">
        <v>5.0599999999999996</v>
      </c>
      <c r="AB314" s="50"/>
      <c r="AC314" s="50"/>
      <c r="AD314" s="50"/>
      <c r="AE314" s="50"/>
      <c r="AF314" s="50"/>
      <c r="AG314" s="50"/>
      <c r="AH314" s="50"/>
      <c r="AI314" s="50"/>
      <c r="AJ314" s="50"/>
    </row>
    <row r="315" spans="1:36" ht="15" customHeight="1" x14ac:dyDescent="0.25">
      <c r="A315" s="50">
        <v>63</v>
      </c>
      <c r="B315" s="50" t="s">
        <v>924</v>
      </c>
      <c r="C315" s="50" t="s">
        <v>1352</v>
      </c>
      <c r="D315" s="50">
        <v>41</v>
      </c>
      <c r="E315" s="50" t="s">
        <v>1355</v>
      </c>
      <c r="F315" s="50">
        <v>12</v>
      </c>
      <c r="G315" s="50">
        <v>4.5999999999999996</v>
      </c>
      <c r="H315" s="50">
        <v>31</v>
      </c>
      <c r="I315" s="50">
        <v>2.3199999999999998</v>
      </c>
      <c r="J315" s="50">
        <v>115</v>
      </c>
      <c r="K315" s="50">
        <v>76</v>
      </c>
      <c r="L315" s="50">
        <v>4.75</v>
      </c>
      <c r="M315" s="50">
        <v>3.68</v>
      </c>
      <c r="N315" s="50">
        <v>28</v>
      </c>
      <c r="O315" s="50">
        <v>8.1999999999999993</v>
      </c>
      <c r="P315" s="50">
        <v>9.3000000000000007</v>
      </c>
      <c r="Q315" s="50">
        <v>37.700000000000003</v>
      </c>
      <c r="R315" s="50">
        <v>50.9</v>
      </c>
      <c r="S315" s="50">
        <v>26.1</v>
      </c>
      <c r="T315" s="50">
        <v>49</v>
      </c>
      <c r="U315" s="50">
        <v>5.88</v>
      </c>
      <c r="V315" s="50">
        <v>61.3</v>
      </c>
      <c r="W315" s="50">
        <v>61</v>
      </c>
      <c r="X315" s="50">
        <v>399</v>
      </c>
      <c r="Y315" s="50">
        <v>10.48</v>
      </c>
      <c r="Z315" s="50">
        <v>23.9</v>
      </c>
      <c r="AA315" s="50">
        <v>5.57</v>
      </c>
      <c r="AB315" s="50"/>
      <c r="AC315" s="50"/>
      <c r="AD315" s="50"/>
      <c r="AE315" s="50"/>
      <c r="AF315" s="50"/>
      <c r="AG315" s="50"/>
      <c r="AH315" s="50"/>
      <c r="AI315" s="50"/>
      <c r="AJ315" s="50"/>
    </row>
    <row r="316" spans="1:36" ht="15" customHeight="1" x14ac:dyDescent="0.25">
      <c r="A316" s="50">
        <v>63</v>
      </c>
      <c r="B316" s="50" t="s">
        <v>924</v>
      </c>
      <c r="C316" s="50" t="s">
        <v>1352</v>
      </c>
      <c r="D316" s="50">
        <v>41</v>
      </c>
      <c r="E316" s="50" t="s">
        <v>1355</v>
      </c>
      <c r="F316" s="50">
        <v>21</v>
      </c>
      <c r="G316" s="50">
        <v>3</v>
      </c>
      <c r="H316" s="50">
        <v>24</v>
      </c>
      <c r="I316" s="50">
        <v>1.65</v>
      </c>
      <c r="J316" s="50">
        <v>120</v>
      </c>
      <c r="K316" s="50">
        <v>58</v>
      </c>
      <c r="L316" s="50">
        <v>3.08</v>
      </c>
      <c r="M316" s="50">
        <v>2.42</v>
      </c>
      <c r="N316" s="50">
        <v>29</v>
      </c>
      <c r="O316" s="50">
        <v>7.2</v>
      </c>
      <c r="P316" s="50">
        <v>8.1999999999999993</v>
      </c>
      <c r="Q316" s="50">
        <v>27.8</v>
      </c>
      <c r="R316" s="50">
        <v>63.3</v>
      </c>
      <c r="S316" s="50">
        <v>35</v>
      </c>
      <c r="T316" s="50">
        <v>58</v>
      </c>
      <c r="U316" s="50">
        <v>4.3899999999999997</v>
      </c>
      <c r="V316" s="50">
        <v>66.5</v>
      </c>
      <c r="W316" s="50">
        <v>66</v>
      </c>
      <c r="X316" s="50">
        <v>457</v>
      </c>
      <c r="Y316" s="50">
        <v>9.34</v>
      </c>
      <c r="Z316" s="50">
        <v>28.5</v>
      </c>
      <c r="AA316" s="50">
        <v>5.78</v>
      </c>
      <c r="AB316" s="50"/>
      <c r="AC316" s="50"/>
      <c r="AD316" s="50"/>
      <c r="AE316" s="50"/>
      <c r="AF316" s="50"/>
      <c r="AG316" s="50"/>
      <c r="AH316" s="50"/>
      <c r="AI316" s="50"/>
      <c r="AJ316" s="50"/>
    </row>
    <row r="317" spans="1:36" ht="15" customHeight="1" x14ac:dyDescent="0.25">
      <c r="A317" s="50">
        <v>64</v>
      </c>
      <c r="B317" s="50" t="s">
        <v>924</v>
      </c>
      <c r="C317" s="50" t="s">
        <v>1357</v>
      </c>
      <c r="D317" s="50">
        <v>43</v>
      </c>
      <c r="E317" s="50" t="s">
        <v>1355</v>
      </c>
      <c r="F317" s="50">
        <v>0</v>
      </c>
      <c r="G317" s="50">
        <v>7</v>
      </c>
      <c r="H317" s="50">
        <v>39</v>
      </c>
      <c r="I317" s="50">
        <v>3.13</v>
      </c>
      <c r="J317" s="50">
        <v>111</v>
      </c>
      <c r="K317" s="50">
        <v>100</v>
      </c>
      <c r="L317" s="50">
        <v>6.48</v>
      </c>
      <c r="M317" s="50">
        <v>5.0199999999999996</v>
      </c>
      <c r="N317" s="50">
        <v>55</v>
      </c>
      <c r="O317" s="50">
        <v>14.6</v>
      </c>
      <c r="P317" s="50">
        <v>14.8</v>
      </c>
      <c r="Q317" s="50">
        <v>40.299999999999997</v>
      </c>
      <c r="R317" s="50">
        <v>31</v>
      </c>
      <c r="S317" s="50">
        <v>24.3</v>
      </c>
      <c r="T317" s="50">
        <v>42</v>
      </c>
      <c r="U317" s="50">
        <v>6.94</v>
      </c>
      <c r="V317" s="50">
        <v>56.3</v>
      </c>
      <c r="W317" s="50">
        <v>26</v>
      </c>
      <c r="X317" s="50">
        <v>338</v>
      </c>
      <c r="Y317" s="50">
        <v>18.3</v>
      </c>
      <c r="Z317" s="50">
        <v>33.4</v>
      </c>
      <c r="AA317" s="50">
        <v>5.15</v>
      </c>
      <c r="AB317" s="50"/>
      <c r="AC317" s="50"/>
      <c r="AD317" s="50"/>
      <c r="AE317" s="50"/>
      <c r="AF317" s="50"/>
      <c r="AG317" s="50"/>
      <c r="AH317" s="50"/>
      <c r="AI317" s="50"/>
      <c r="AJ317" s="50"/>
    </row>
    <row r="318" spans="1:36" ht="15" customHeight="1" x14ac:dyDescent="0.25">
      <c r="A318" s="50">
        <v>64</v>
      </c>
      <c r="B318" s="50" t="s">
        <v>924</v>
      </c>
      <c r="C318" s="50" t="s">
        <v>1357</v>
      </c>
      <c r="D318" s="50">
        <v>43</v>
      </c>
      <c r="E318" s="50" t="s">
        <v>1355</v>
      </c>
      <c r="F318" s="50">
        <v>4</v>
      </c>
      <c r="G318" s="50">
        <v>6.7</v>
      </c>
      <c r="H318" s="50">
        <v>35</v>
      </c>
      <c r="I318" s="50">
        <v>2.9</v>
      </c>
      <c r="J318" s="50">
        <v>117</v>
      </c>
      <c r="K318" s="50">
        <v>92</v>
      </c>
      <c r="L318" s="50">
        <v>6.19</v>
      </c>
      <c r="M318" s="50">
        <v>4.8</v>
      </c>
      <c r="N318" s="50">
        <v>53</v>
      </c>
      <c r="O318" s="50">
        <v>15</v>
      </c>
      <c r="P318" s="50">
        <v>13.9</v>
      </c>
      <c r="Q318" s="50">
        <v>38.1</v>
      </c>
      <c r="R318" s="50">
        <v>32.700000000000003</v>
      </c>
      <c r="S318" s="50">
        <v>25.5</v>
      </c>
      <c r="T318" s="50">
        <v>45</v>
      </c>
      <c r="U318" s="50">
        <v>6.92</v>
      </c>
      <c r="V318" s="50">
        <v>58.5</v>
      </c>
      <c r="W318" s="50">
        <v>29</v>
      </c>
      <c r="X318" s="50">
        <v>350</v>
      </c>
      <c r="Y318" s="50">
        <v>17.739999999999998</v>
      </c>
      <c r="Z318" s="50">
        <v>34.6</v>
      </c>
      <c r="AA318" s="50">
        <v>5.08</v>
      </c>
      <c r="AB318" s="50"/>
      <c r="AC318" s="50"/>
      <c r="AD318" s="50"/>
      <c r="AE318" s="50"/>
      <c r="AF318" s="50"/>
      <c r="AG318" s="50"/>
      <c r="AH318" s="50"/>
      <c r="AI318" s="50"/>
      <c r="AJ318" s="50"/>
    </row>
    <row r="319" spans="1:36" ht="15" customHeight="1" x14ac:dyDescent="0.25">
      <c r="A319" s="50">
        <v>64</v>
      </c>
      <c r="B319" s="50" t="s">
        <v>924</v>
      </c>
      <c r="C319" s="50" t="s">
        <v>1357</v>
      </c>
      <c r="D319" s="50">
        <v>43</v>
      </c>
      <c r="E319" s="50" t="s">
        <v>1355</v>
      </c>
      <c r="F319" s="50">
        <v>8</v>
      </c>
      <c r="G319" s="50">
        <v>5.6</v>
      </c>
      <c r="H319" s="50">
        <v>33</v>
      </c>
      <c r="I319" s="50">
        <v>2.57</v>
      </c>
      <c r="J319" s="50">
        <v>120</v>
      </c>
      <c r="K319" s="50">
        <v>84</v>
      </c>
      <c r="L319" s="50">
        <v>5.17</v>
      </c>
      <c r="M319" s="50">
        <v>4.17</v>
      </c>
      <c r="N319" s="50">
        <v>51</v>
      </c>
      <c r="O319" s="50">
        <v>13.5</v>
      </c>
      <c r="P319" s="50">
        <v>11.9</v>
      </c>
      <c r="Q319" s="50">
        <v>34.9</v>
      </c>
      <c r="R319" s="50">
        <v>36.4</v>
      </c>
      <c r="S319" s="50">
        <v>29.8</v>
      </c>
      <c r="T319" s="50">
        <v>51</v>
      </c>
      <c r="U319" s="50">
        <v>5.84</v>
      </c>
      <c r="V319" s="50">
        <v>59.8</v>
      </c>
      <c r="W319" s="50">
        <v>36</v>
      </c>
      <c r="X319" s="50">
        <v>378</v>
      </c>
      <c r="Y319" s="50">
        <v>15.6</v>
      </c>
      <c r="Z319" s="50">
        <v>35.6</v>
      </c>
      <c r="AA319" s="50">
        <v>5.35</v>
      </c>
      <c r="AB319" s="50"/>
      <c r="AC319" s="50"/>
      <c r="AD319" s="50"/>
      <c r="AE319" s="50"/>
      <c r="AF319" s="50"/>
      <c r="AG319" s="50"/>
      <c r="AH319" s="50"/>
      <c r="AI319" s="50"/>
      <c r="AJ319" s="50"/>
    </row>
    <row r="320" spans="1:36" ht="15" customHeight="1" x14ac:dyDescent="0.25">
      <c r="A320" s="50">
        <v>64</v>
      </c>
      <c r="B320" s="50" t="s">
        <v>924</v>
      </c>
      <c r="C320" s="50" t="s">
        <v>1357</v>
      </c>
      <c r="D320" s="50">
        <v>43</v>
      </c>
      <c r="E320" s="50" t="s">
        <v>1355</v>
      </c>
      <c r="F320" s="50">
        <v>12</v>
      </c>
      <c r="G320" s="50">
        <v>4.8</v>
      </c>
      <c r="H320" s="50">
        <v>30</v>
      </c>
      <c r="I320" s="50">
        <v>2.4</v>
      </c>
      <c r="J320" s="50">
        <v>128</v>
      </c>
      <c r="K320" s="50">
        <v>76</v>
      </c>
      <c r="L320" s="50">
        <v>4.6100000000000003</v>
      </c>
      <c r="M320" s="50">
        <v>3.75</v>
      </c>
      <c r="N320" s="50">
        <v>41</v>
      </c>
      <c r="O320" s="50">
        <v>12.2</v>
      </c>
      <c r="P320" s="50">
        <v>10.5</v>
      </c>
      <c r="Q320" s="50">
        <v>32.6</v>
      </c>
      <c r="R320" s="50">
        <v>46.5</v>
      </c>
      <c r="S320" s="50">
        <v>30.4</v>
      </c>
      <c r="T320" s="50">
        <v>53</v>
      </c>
      <c r="U320" s="50">
        <v>6.15</v>
      </c>
      <c r="V320" s="50">
        <v>60.8</v>
      </c>
      <c r="W320" s="50">
        <v>45</v>
      </c>
      <c r="X320" s="50">
        <v>410</v>
      </c>
      <c r="Y320" s="50">
        <v>14.25</v>
      </c>
      <c r="Z320" s="50">
        <v>36.4</v>
      </c>
      <c r="AA320" s="50">
        <v>6.17</v>
      </c>
      <c r="AB320" s="50"/>
      <c r="AC320" s="50"/>
      <c r="AD320" s="50"/>
      <c r="AE320" s="50"/>
      <c r="AF320" s="50"/>
      <c r="AG320" s="50"/>
      <c r="AH320" s="50"/>
      <c r="AI320" s="50"/>
      <c r="AJ320" s="50"/>
    </row>
    <row r="321" spans="1:36" ht="15" customHeight="1" x14ac:dyDescent="0.25">
      <c r="A321" s="50">
        <v>64</v>
      </c>
      <c r="B321" s="50" t="s">
        <v>924</v>
      </c>
      <c r="C321" s="50" t="s">
        <v>1357</v>
      </c>
      <c r="D321" s="50">
        <v>43</v>
      </c>
      <c r="E321" s="50" t="s">
        <v>1355</v>
      </c>
      <c r="F321" s="50">
        <v>21</v>
      </c>
      <c r="G321" s="50">
        <v>3.3</v>
      </c>
      <c r="H321" s="50">
        <v>22</v>
      </c>
      <c r="I321" s="50">
        <v>1.73</v>
      </c>
      <c r="J321" s="50">
        <v>132</v>
      </c>
      <c r="K321" s="50">
        <v>58</v>
      </c>
      <c r="L321" s="50">
        <v>3.42</v>
      </c>
      <c r="M321" s="50">
        <v>3.27</v>
      </c>
      <c r="N321" s="50">
        <v>38</v>
      </c>
      <c r="O321" s="50">
        <v>10.1</v>
      </c>
      <c r="P321" s="50">
        <v>9</v>
      </c>
      <c r="Q321" s="50">
        <v>27.3</v>
      </c>
      <c r="R321" s="50">
        <v>55.6</v>
      </c>
      <c r="S321" s="50">
        <v>36.200000000000003</v>
      </c>
      <c r="T321" s="50">
        <v>65</v>
      </c>
      <c r="U321" s="50">
        <v>6.14</v>
      </c>
      <c r="V321" s="50">
        <v>66.7</v>
      </c>
      <c r="W321" s="50">
        <v>53</v>
      </c>
      <c r="X321" s="50">
        <v>454</v>
      </c>
      <c r="Y321" s="50">
        <v>12.4</v>
      </c>
      <c r="Z321" s="50">
        <v>41.2</v>
      </c>
      <c r="AA321" s="50">
        <v>6.23</v>
      </c>
      <c r="AB321" s="50"/>
      <c r="AC321" s="50"/>
      <c r="AD321" s="50"/>
      <c r="AE321" s="50"/>
      <c r="AF321" s="50"/>
      <c r="AG321" s="50"/>
      <c r="AH321" s="50"/>
      <c r="AI321" s="50"/>
      <c r="AJ321" s="50"/>
    </row>
    <row r="322" spans="1:36" ht="15" customHeight="1" x14ac:dyDescent="0.25">
      <c r="A322" s="50">
        <v>65</v>
      </c>
      <c r="B322" s="50" t="s">
        <v>924</v>
      </c>
      <c r="C322" s="50" t="s">
        <v>1352</v>
      </c>
      <c r="D322" s="50">
        <v>41</v>
      </c>
      <c r="E322" s="50" t="s">
        <v>1355</v>
      </c>
      <c r="F322" s="50">
        <v>0</v>
      </c>
      <c r="G322" s="50">
        <v>7.3</v>
      </c>
      <c r="H322" s="50">
        <v>49</v>
      </c>
      <c r="I322" s="50">
        <v>3.26</v>
      </c>
      <c r="J322" s="50">
        <v>82</v>
      </c>
      <c r="K322" s="50">
        <v>100</v>
      </c>
      <c r="L322" s="50">
        <v>6.71</v>
      </c>
      <c r="M322" s="50">
        <v>5.57</v>
      </c>
      <c r="N322" s="50">
        <v>33</v>
      </c>
      <c r="O322" s="50">
        <v>14.4</v>
      </c>
      <c r="P322" s="50">
        <v>11.7</v>
      </c>
      <c r="Q322" s="50">
        <v>46.9</v>
      </c>
      <c r="R322" s="50">
        <v>37.1</v>
      </c>
      <c r="S322" s="50">
        <v>16.5</v>
      </c>
      <c r="T322" s="50">
        <v>23</v>
      </c>
      <c r="U322" s="50">
        <v>7.03</v>
      </c>
      <c r="V322" s="50">
        <v>59.6</v>
      </c>
      <c r="W322" s="50">
        <v>37</v>
      </c>
      <c r="X322" s="50">
        <v>232</v>
      </c>
      <c r="Y322" s="50">
        <v>12.53</v>
      </c>
      <c r="Z322" s="50">
        <v>27.3</v>
      </c>
      <c r="AA322" s="50">
        <v>3.74</v>
      </c>
      <c r="AB322" s="50"/>
      <c r="AC322" s="50"/>
      <c r="AD322" s="50"/>
      <c r="AE322" s="50"/>
      <c r="AF322" s="50"/>
      <c r="AG322" s="50"/>
      <c r="AH322" s="50"/>
      <c r="AI322" s="50"/>
      <c r="AJ322" s="50"/>
    </row>
    <row r="323" spans="1:36" ht="15" customHeight="1" x14ac:dyDescent="0.25">
      <c r="A323" s="50">
        <v>65</v>
      </c>
      <c r="B323" s="50" t="s">
        <v>924</v>
      </c>
      <c r="C323" s="50" t="s">
        <v>1352</v>
      </c>
      <c r="D323" s="50">
        <v>41</v>
      </c>
      <c r="E323" s="50" t="s">
        <v>1355</v>
      </c>
      <c r="F323" s="50">
        <v>4</v>
      </c>
      <c r="G323" s="50">
        <v>6.5</v>
      </c>
      <c r="H323" s="50">
        <v>44</v>
      </c>
      <c r="I323" s="50">
        <v>2.99</v>
      </c>
      <c r="J323" s="50">
        <v>87</v>
      </c>
      <c r="K323" s="50">
        <v>92</v>
      </c>
      <c r="L323" s="50">
        <v>6.09</v>
      </c>
      <c r="M323" s="50">
        <v>5.05</v>
      </c>
      <c r="N323" s="50">
        <v>33</v>
      </c>
      <c r="O323" s="50">
        <v>12.8</v>
      </c>
      <c r="P323" s="50">
        <v>12.4</v>
      </c>
      <c r="Q323" s="50">
        <v>41.4</v>
      </c>
      <c r="R323" s="50">
        <v>39</v>
      </c>
      <c r="S323" s="50">
        <v>20.100000000000001</v>
      </c>
      <c r="T323" s="50">
        <v>31</v>
      </c>
      <c r="U323" s="50">
        <v>6.49</v>
      </c>
      <c r="V323" s="50">
        <v>59.7</v>
      </c>
      <c r="W323" s="50">
        <v>41</v>
      </c>
      <c r="X323" s="50">
        <v>261</v>
      </c>
      <c r="Y323" s="50">
        <v>11.98</v>
      </c>
      <c r="Z323" s="50">
        <v>28</v>
      </c>
      <c r="AA323" s="50">
        <v>4.13</v>
      </c>
      <c r="AB323" s="50"/>
      <c r="AC323" s="50"/>
      <c r="AD323" s="50"/>
      <c r="AE323" s="50"/>
      <c r="AF323" s="50"/>
      <c r="AG323" s="50"/>
      <c r="AH323" s="50"/>
      <c r="AI323" s="50"/>
      <c r="AJ323" s="50"/>
    </row>
    <row r="324" spans="1:36" ht="15" customHeight="1" x14ac:dyDescent="0.25">
      <c r="A324" s="50">
        <v>65</v>
      </c>
      <c r="B324" s="50" t="s">
        <v>924</v>
      </c>
      <c r="C324" s="50" t="s">
        <v>1352</v>
      </c>
      <c r="D324" s="50">
        <v>41</v>
      </c>
      <c r="E324" s="50" t="s">
        <v>1355</v>
      </c>
      <c r="F324" s="50">
        <v>8</v>
      </c>
      <c r="G324" s="50">
        <v>5.5</v>
      </c>
      <c r="H324" s="50">
        <v>42</v>
      </c>
      <c r="I324" s="50">
        <v>2.71</v>
      </c>
      <c r="J324" s="50">
        <v>89</v>
      </c>
      <c r="K324" s="50">
        <v>84</v>
      </c>
      <c r="L324" s="50">
        <v>5.22</v>
      </c>
      <c r="M324" s="50">
        <v>4.17</v>
      </c>
      <c r="N324" s="50">
        <v>33</v>
      </c>
      <c r="O324" s="50">
        <v>13.3</v>
      </c>
      <c r="P324" s="50">
        <v>11.2</v>
      </c>
      <c r="Q324" s="50">
        <v>38.9</v>
      </c>
      <c r="R324" s="50">
        <v>45.1</v>
      </c>
      <c r="S324" s="50">
        <v>24.3</v>
      </c>
      <c r="T324" s="50">
        <v>37</v>
      </c>
      <c r="U324" s="50">
        <v>7.05</v>
      </c>
      <c r="V324" s="50">
        <v>62.2</v>
      </c>
      <c r="W324" s="50">
        <v>46</v>
      </c>
      <c r="X324" s="50">
        <v>288</v>
      </c>
      <c r="Y324" s="50">
        <v>10.94</v>
      </c>
      <c r="Z324" s="50">
        <v>28.1</v>
      </c>
      <c r="AA324" s="50">
        <v>4.99</v>
      </c>
      <c r="AB324" s="50"/>
      <c r="AC324" s="50"/>
      <c r="AD324" s="50"/>
      <c r="AE324" s="50"/>
      <c r="AF324" s="50"/>
      <c r="AG324" s="50"/>
      <c r="AH324" s="50"/>
      <c r="AI324" s="50"/>
      <c r="AJ324" s="50"/>
    </row>
    <row r="325" spans="1:36" ht="15" customHeight="1" x14ac:dyDescent="0.25">
      <c r="A325" s="50">
        <v>65</v>
      </c>
      <c r="B325" s="50" t="s">
        <v>924</v>
      </c>
      <c r="C325" s="50" t="s">
        <v>1352</v>
      </c>
      <c r="D325" s="50">
        <v>41</v>
      </c>
      <c r="E325" s="50" t="s">
        <v>1355</v>
      </c>
      <c r="F325" s="50">
        <v>12</v>
      </c>
      <c r="G325" s="50">
        <v>5</v>
      </c>
      <c r="H325" s="50">
        <v>37</v>
      </c>
      <c r="I325" s="50">
        <v>2.5299999999999998</v>
      </c>
      <c r="J325" s="50">
        <v>98</v>
      </c>
      <c r="K325" s="50">
        <v>76</v>
      </c>
      <c r="L325" s="50">
        <v>5.07</v>
      </c>
      <c r="M325" s="50">
        <v>4.1399999999999997</v>
      </c>
      <c r="N325" s="50">
        <v>32</v>
      </c>
      <c r="O325" s="50">
        <v>12</v>
      </c>
      <c r="P325" s="50">
        <v>9.1</v>
      </c>
      <c r="Q325" s="50">
        <v>34.5</v>
      </c>
      <c r="R325" s="50">
        <v>45.4</v>
      </c>
      <c r="S325" s="50">
        <v>30.5</v>
      </c>
      <c r="T325" s="50">
        <v>41</v>
      </c>
      <c r="U325" s="50">
        <v>5.39</v>
      </c>
      <c r="V325" s="50">
        <v>63.3</v>
      </c>
      <c r="W325" s="50">
        <v>52</v>
      </c>
      <c r="X325" s="50">
        <v>299</v>
      </c>
      <c r="Y325" s="50">
        <v>10.76</v>
      </c>
      <c r="Z325" s="50">
        <v>26.4</v>
      </c>
      <c r="AA325" s="50">
        <v>4.58</v>
      </c>
      <c r="AB325" s="50"/>
      <c r="AC325" s="50"/>
      <c r="AD325" s="50"/>
      <c r="AE325" s="50"/>
      <c r="AF325" s="50"/>
      <c r="AG325" s="50"/>
      <c r="AH325" s="50"/>
      <c r="AI325" s="50"/>
      <c r="AJ325" s="50"/>
    </row>
    <row r="326" spans="1:36" ht="15" customHeight="1" x14ac:dyDescent="0.25">
      <c r="A326" s="50">
        <v>65</v>
      </c>
      <c r="B326" s="50" t="s">
        <v>924</v>
      </c>
      <c r="C326" s="50" t="s">
        <v>1352</v>
      </c>
      <c r="D326" s="50">
        <v>41</v>
      </c>
      <c r="E326" s="50" t="s">
        <v>1355</v>
      </c>
      <c r="F326" s="50">
        <v>21</v>
      </c>
      <c r="G326" s="50">
        <v>3.3</v>
      </c>
      <c r="H326" s="50">
        <v>31</v>
      </c>
      <c r="I326" s="50">
        <v>1.8</v>
      </c>
      <c r="J326" s="50">
        <v>104</v>
      </c>
      <c r="K326" s="50">
        <v>58</v>
      </c>
      <c r="L326" s="50">
        <v>3.83</v>
      </c>
      <c r="M326" s="50">
        <v>2.35</v>
      </c>
      <c r="N326" s="50">
        <v>25</v>
      </c>
      <c r="O326" s="50">
        <v>11.4</v>
      </c>
      <c r="P326" s="50">
        <v>7.9</v>
      </c>
      <c r="Q326" s="50">
        <v>23.7</v>
      </c>
      <c r="R326" s="50">
        <v>56.3</v>
      </c>
      <c r="S326" s="50">
        <v>30.8</v>
      </c>
      <c r="T326" s="50">
        <v>46</v>
      </c>
      <c r="U326" s="50">
        <v>3.39</v>
      </c>
      <c r="V326" s="50">
        <v>65.599999999999994</v>
      </c>
      <c r="W326" s="50">
        <v>59</v>
      </c>
      <c r="X326" s="50">
        <v>352</v>
      </c>
      <c r="Y326" s="50">
        <v>9.83</v>
      </c>
      <c r="Z326" s="50">
        <v>32.9</v>
      </c>
      <c r="AA326" s="50">
        <v>5.69</v>
      </c>
      <c r="AB326" s="50"/>
      <c r="AC326" s="50"/>
      <c r="AD326" s="50"/>
      <c r="AE326" s="50"/>
      <c r="AF326" s="50"/>
      <c r="AG326" s="50"/>
      <c r="AH326" s="50"/>
      <c r="AI326" s="50"/>
      <c r="AJ326" s="50"/>
    </row>
    <row r="327" spans="1:36" ht="15" customHeight="1" x14ac:dyDescent="0.25">
      <c r="A327" s="50">
        <v>66</v>
      </c>
      <c r="B327" s="50" t="s">
        <v>924</v>
      </c>
      <c r="C327" s="50" t="s">
        <v>1352</v>
      </c>
      <c r="D327" s="50">
        <v>41</v>
      </c>
      <c r="E327" s="50" t="s">
        <v>1360</v>
      </c>
      <c r="F327" s="50">
        <v>0</v>
      </c>
      <c r="G327" s="50">
        <v>6.9</v>
      </c>
      <c r="H327" s="50">
        <v>51</v>
      </c>
      <c r="I327" s="50">
        <v>3.15</v>
      </c>
      <c r="J327" s="50">
        <v>107</v>
      </c>
      <c r="K327" s="50">
        <v>100</v>
      </c>
      <c r="L327" s="50">
        <v>6.14</v>
      </c>
      <c r="M327" s="50">
        <v>5.54</v>
      </c>
      <c r="N327" s="50">
        <v>45</v>
      </c>
      <c r="O327" s="50">
        <v>12.2</v>
      </c>
      <c r="P327" s="50">
        <v>8.6999999999999993</v>
      </c>
      <c r="Q327" s="50">
        <v>29.9</v>
      </c>
      <c r="R327" s="50">
        <v>32.5</v>
      </c>
      <c r="S327" s="50">
        <v>20.6</v>
      </c>
      <c r="T327" s="50">
        <v>32</v>
      </c>
      <c r="U327" s="50">
        <v>10.050000000000001</v>
      </c>
      <c r="V327" s="50">
        <v>58.2</v>
      </c>
      <c r="W327" s="50">
        <v>44</v>
      </c>
      <c r="X327" s="50">
        <v>424</v>
      </c>
      <c r="Y327" s="50">
        <v>12.96</v>
      </c>
      <c r="Z327" s="50">
        <v>26.3</v>
      </c>
      <c r="AA327" s="50">
        <v>7.23</v>
      </c>
      <c r="AB327" s="50"/>
      <c r="AC327" s="50"/>
      <c r="AD327" s="50"/>
      <c r="AE327" s="50"/>
      <c r="AF327" s="50"/>
      <c r="AG327" s="50"/>
      <c r="AH327" s="50"/>
      <c r="AI327" s="50"/>
      <c r="AJ327" s="50"/>
    </row>
    <row r="328" spans="1:36" ht="15" customHeight="1" x14ac:dyDescent="0.25">
      <c r="A328" s="50">
        <v>66</v>
      </c>
      <c r="B328" s="50" t="s">
        <v>924</v>
      </c>
      <c r="C328" s="50" t="s">
        <v>1352</v>
      </c>
      <c r="D328" s="50">
        <v>41</v>
      </c>
      <c r="E328" s="50" t="s">
        <v>1360</v>
      </c>
      <c r="F328" s="50">
        <v>4</v>
      </c>
      <c r="G328" s="50">
        <v>6.2</v>
      </c>
      <c r="H328" s="50">
        <v>45</v>
      </c>
      <c r="I328" s="50">
        <v>3</v>
      </c>
      <c r="J328" s="50">
        <v>113</v>
      </c>
      <c r="K328" s="50">
        <v>92</v>
      </c>
      <c r="L328" s="50">
        <v>5.79</v>
      </c>
      <c r="M328" s="50">
        <v>5.16</v>
      </c>
      <c r="N328" s="50">
        <v>42</v>
      </c>
      <c r="O328" s="50">
        <v>10.6</v>
      </c>
      <c r="P328" s="50">
        <v>9.6</v>
      </c>
      <c r="Q328" s="50">
        <v>30.5</v>
      </c>
      <c r="R328" s="50">
        <v>34.4</v>
      </c>
      <c r="S328" s="50">
        <v>24.9</v>
      </c>
      <c r="T328" s="50">
        <v>37</v>
      </c>
      <c r="U328" s="50">
        <v>9.89</v>
      </c>
      <c r="V328" s="50">
        <v>58.5</v>
      </c>
      <c r="W328" s="50">
        <v>48</v>
      </c>
      <c r="X328" s="50">
        <v>440</v>
      </c>
      <c r="Y328" s="50">
        <v>12.71</v>
      </c>
      <c r="Z328" s="50">
        <v>29.6</v>
      </c>
      <c r="AA328" s="50">
        <v>7.23</v>
      </c>
      <c r="AB328" s="50"/>
      <c r="AC328" s="50"/>
      <c r="AD328" s="50"/>
      <c r="AE328" s="50"/>
      <c r="AF328" s="50"/>
      <c r="AG328" s="50"/>
      <c r="AH328" s="50"/>
      <c r="AI328" s="50"/>
      <c r="AJ328" s="50"/>
    </row>
    <row r="329" spans="1:36" ht="15" customHeight="1" x14ac:dyDescent="0.25">
      <c r="A329" s="50">
        <v>66</v>
      </c>
      <c r="B329" s="50" t="s">
        <v>924</v>
      </c>
      <c r="C329" s="50" t="s">
        <v>1352</v>
      </c>
      <c r="D329" s="50">
        <v>41</v>
      </c>
      <c r="E329" s="50" t="s">
        <v>1360</v>
      </c>
      <c r="F329" s="50">
        <v>8</v>
      </c>
      <c r="G329" s="50">
        <v>5.0999999999999996</v>
      </c>
      <c r="H329" s="50">
        <v>44</v>
      </c>
      <c r="I329" s="50">
        <v>2.69</v>
      </c>
      <c r="J329" s="50">
        <v>117</v>
      </c>
      <c r="K329" s="50">
        <v>84</v>
      </c>
      <c r="L329" s="50">
        <v>4.7300000000000004</v>
      </c>
      <c r="M329" s="50">
        <v>4.5</v>
      </c>
      <c r="N329" s="50">
        <v>38</v>
      </c>
      <c r="O329" s="50">
        <v>11.8</v>
      </c>
      <c r="P329" s="50">
        <v>9.6999999999999993</v>
      </c>
      <c r="Q329" s="50">
        <v>29.1</v>
      </c>
      <c r="R329" s="50">
        <v>44.8</v>
      </c>
      <c r="S329" s="50">
        <v>27</v>
      </c>
      <c r="T329" s="50">
        <v>42</v>
      </c>
      <c r="U329" s="50">
        <v>7.84</v>
      </c>
      <c r="V329" s="50">
        <v>62.2</v>
      </c>
      <c r="W329" s="50">
        <v>56</v>
      </c>
      <c r="X329" s="50">
        <v>458</v>
      </c>
      <c r="Y329" s="50">
        <v>11.39</v>
      </c>
      <c r="Z329" s="50">
        <v>33</v>
      </c>
      <c r="AA329" s="50">
        <v>7.46</v>
      </c>
      <c r="AB329" s="50"/>
      <c r="AC329" s="50"/>
      <c r="AD329" s="50"/>
      <c r="AE329" s="50"/>
      <c r="AF329" s="50"/>
      <c r="AG329" s="50"/>
      <c r="AH329" s="50"/>
      <c r="AI329" s="50"/>
      <c r="AJ329" s="50"/>
    </row>
    <row r="330" spans="1:36" ht="15" customHeight="1" x14ac:dyDescent="0.25">
      <c r="A330" s="50">
        <v>66</v>
      </c>
      <c r="B330" s="50" t="s">
        <v>924</v>
      </c>
      <c r="C330" s="50" t="s">
        <v>1352</v>
      </c>
      <c r="D330" s="50">
        <v>41</v>
      </c>
      <c r="E330" s="50" t="s">
        <v>1360</v>
      </c>
      <c r="F330" s="50">
        <v>12</v>
      </c>
      <c r="G330" s="50">
        <v>4.4000000000000004</v>
      </c>
      <c r="H330" s="50">
        <v>40</v>
      </c>
      <c r="I330" s="50">
        <v>2.31</v>
      </c>
      <c r="J330" s="50">
        <v>116</v>
      </c>
      <c r="K330" s="50">
        <v>76</v>
      </c>
      <c r="L330" s="50">
        <v>4.3499999999999996</v>
      </c>
      <c r="M330" s="50">
        <v>4.12</v>
      </c>
      <c r="N330" s="50">
        <v>33</v>
      </c>
      <c r="O330" s="50">
        <v>10</v>
      </c>
      <c r="P330" s="50">
        <v>8.3000000000000007</v>
      </c>
      <c r="Q330" s="50">
        <v>27.8</v>
      </c>
      <c r="R330" s="50">
        <v>48</v>
      </c>
      <c r="S330" s="50">
        <v>31.3</v>
      </c>
      <c r="T330" s="50">
        <v>49</v>
      </c>
      <c r="U330" s="50">
        <v>7.94</v>
      </c>
      <c r="V330" s="50">
        <v>62.3</v>
      </c>
      <c r="W330" s="50">
        <v>62</v>
      </c>
      <c r="X330" s="50">
        <v>463</v>
      </c>
      <c r="Y330" s="50">
        <v>11.29</v>
      </c>
      <c r="Z330" s="50">
        <v>32.5</v>
      </c>
      <c r="AA330" s="50">
        <v>7.19</v>
      </c>
      <c r="AB330" s="50"/>
      <c r="AC330" s="50"/>
      <c r="AD330" s="50"/>
      <c r="AE330" s="50"/>
      <c r="AF330" s="50"/>
      <c r="AG330" s="50"/>
      <c r="AH330" s="50"/>
      <c r="AI330" s="50"/>
      <c r="AJ330" s="50"/>
    </row>
    <row r="331" spans="1:36" ht="15" customHeight="1" x14ac:dyDescent="0.25">
      <c r="A331" s="50">
        <v>66</v>
      </c>
      <c r="B331" s="50" t="s">
        <v>924</v>
      </c>
      <c r="C331" s="50" t="s">
        <v>1352</v>
      </c>
      <c r="D331" s="50">
        <v>41</v>
      </c>
      <c r="E331" s="50" t="s">
        <v>1360</v>
      </c>
      <c r="F331" s="50">
        <v>21</v>
      </c>
      <c r="G331" s="50">
        <v>3</v>
      </c>
      <c r="H331" s="50">
        <v>34</v>
      </c>
      <c r="I331" s="50">
        <v>1.77</v>
      </c>
      <c r="J331" s="50">
        <v>130</v>
      </c>
      <c r="K331" s="50">
        <v>58</v>
      </c>
      <c r="L331" s="50">
        <v>3.03</v>
      </c>
      <c r="M331" s="50">
        <v>3.48</v>
      </c>
      <c r="N331" s="50">
        <v>29</v>
      </c>
      <c r="O331" s="50">
        <v>9</v>
      </c>
      <c r="P331" s="50">
        <v>7.5</v>
      </c>
      <c r="Q331" s="50">
        <v>24.2</v>
      </c>
      <c r="R331" s="50">
        <v>56.1</v>
      </c>
      <c r="S331" s="50">
        <v>30</v>
      </c>
      <c r="T331" s="50">
        <v>57</v>
      </c>
      <c r="U331" s="50">
        <v>6.85</v>
      </c>
      <c r="V331" s="50">
        <v>65.7</v>
      </c>
      <c r="W331" s="50">
        <v>74</v>
      </c>
      <c r="X331" s="50">
        <v>506</v>
      </c>
      <c r="Y331" s="50">
        <v>11.47</v>
      </c>
      <c r="Z331" s="50">
        <v>38</v>
      </c>
      <c r="AA331" s="50">
        <v>7.43</v>
      </c>
      <c r="AB331" s="50"/>
      <c r="AC331" s="50"/>
      <c r="AD331" s="50"/>
      <c r="AE331" s="50"/>
      <c r="AF331" s="50"/>
      <c r="AG331" s="50"/>
      <c r="AH331" s="50"/>
      <c r="AI331" s="50"/>
      <c r="AJ331" s="50"/>
    </row>
    <row r="332" spans="1:36" ht="15" customHeight="1" x14ac:dyDescent="0.25">
      <c r="A332" s="50">
        <v>67</v>
      </c>
      <c r="B332" s="50" t="s">
        <v>924</v>
      </c>
      <c r="C332" s="50" t="s">
        <v>1352</v>
      </c>
      <c r="D332" s="50">
        <v>34</v>
      </c>
      <c r="E332" s="50" t="s">
        <v>1360</v>
      </c>
      <c r="F332" s="50">
        <v>0</v>
      </c>
      <c r="G332" s="50">
        <v>7</v>
      </c>
      <c r="H332" s="50">
        <v>49</v>
      </c>
      <c r="I332" s="50">
        <v>3.16</v>
      </c>
      <c r="J332" s="50">
        <v>112</v>
      </c>
      <c r="K332" s="50">
        <v>100</v>
      </c>
      <c r="L332" s="50">
        <v>7.58</v>
      </c>
      <c r="M332" s="50">
        <v>7.09</v>
      </c>
      <c r="N332" s="50">
        <v>47</v>
      </c>
      <c r="O332" s="50">
        <v>11.5</v>
      </c>
      <c r="P332" s="50">
        <v>10.7</v>
      </c>
      <c r="Q332" s="50">
        <v>42.7</v>
      </c>
      <c r="R332" s="50">
        <v>31</v>
      </c>
      <c r="S332" s="50">
        <v>15.1</v>
      </c>
      <c r="T332" s="50">
        <v>39</v>
      </c>
      <c r="U332" s="50">
        <v>9.7100000000000009</v>
      </c>
      <c r="V332" s="50">
        <v>54.7</v>
      </c>
      <c r="W332" s="50">
        <v>53</v>
      </c>
      <c r="X332" s="50">
        <v>384</v>
      </c>
      <c r="Y332" s="50">
        <v>17.350000000000001</v>
      </c>
      <c r="Z332" s="50">
        <v>29.3</v>
      </c>
      <c r="AA332" s="50">
        <v>6.65</v>
      </c>
      <c r="AB332" s="50"/>
      <c r="AC332" s="50"/>
      <c r="AD332" s="50"/>
      <c r="AE332" s="50"/>
      <c r="AF332" s="50"/>
      <c r="AG332" s="50"/>
      <c r="AH332" s="50"/>
      <c r="AI332" s="50"/>
      <c r="AJ332" s="50"/>
    </row>
    <row r="333" spans="1:36" ht="15" customHeight="1" x14ac:dyDescent="0.25">
      <c r="A333" s="50">
        <v>67</v>
      </c>
      <c r="B333" s="50" t="s">
        <v>924</v>
      </c>
      <c r="C333" s="50" t="s">
        <v>1352</v>
      </c>
      <c r="D333" s="50">
        <v>34</v>
      </c>
      <c r="E333" s="50" t="s">
        <v>1360</v>
      </c>
      <c r="F333" s="50">
        <v>4</v>
      </c>
      <c r="G333" s="50">
        <v>6.3</v>
      </c>
      <c r="H333" s="50">
        <v>48</v>
      </c>
      <c r="I333" s="50">
        <v>2.9</v>
      </c>
      <c r="J333" s="50">
        <v>109</v>
      </c>
      <c r="K333" s="50">
        <v>92</v>
      </c>
      <c r="L333" s="50">
        <v>7.04</v>
      </c>
      <c r="M333" s="50">
        <v>6.35</v>
      </c>
      <c r="N333" s="50">
        <v>45</v>
      </c>
      <c r="O333" s="50">
        <v>12.6</v>
      </c>
      <c r="P333" s="50">
        <v>10.5</v>
      </c>
      <c r="Q333" s="50">
        <v>42.9</v>
      </c>
      <c r="R333" s="50">
        <v>36</v>
      </c>
      <c r="S333" s="50">
        <v>18.3</v>
      </c>
      <c r="T333" s="50">
        <v>37</v>
      </c>
      <c r="U333" s="50">
        <v>8.7899999999999991</v>
      </c>
      <c r="V333" s="50">
        <v>56.5</v>
      </c>
      <c r="W333" s="50">
        <v>57</v>
      </c>
      <c r="X333" s="50">
        <v>405</v>
      </c>
      <c r="Y333" s="50">
        <v>16.2</v>
      </c>
      <c r="Z333" s="50">
        <v>32.200000000000003</v>
      </c>
      <c r="AA333" s="50">
        <v>6.8</v>
      </c>
      <c r="AB333" s="50"/>
      <c r="AC333" s="50"/>
      <c r="AD333" s="50"/>
      <c r="AE333" s="50"/>
      <c r="AF333" s="50"/>
      <c r="AG333" s="50"/>
      <c r="AH333" s="50"/>
      <c r="AI333" s="50"/>
      <c r="AJ333" s="50"/>
    </row>
    <row r="334" spans="1:36" ht="15" customHeight="1" x14ac:dyDescent="0.25">
      <c r="A334" s="50">
        <v>67</v>
      </c>
      <c r="B334" s="50" t="s">
        <v>924</v>
      </c>
      <c r="C334" s="50" t="s">
        <v>1352</v>
      </c>
      <c r="D334" s="50">
        <v>34</v>
      </c>
      <c r="E334" s="50" t="s">
        <v>1360</v>
      </c>
      <c r="F334" s="50">
        <v>8</v>
      </c>
      <c r="G334" s="50">
        <v>5.4</v>
      </c>
      <c r="H334" s="50">
        <v>41</v>
      </c>
      <c r="I334" s="50">
        <v>2.62</v>
      </c>
      <c r="J334" s="50">
        <v>118</v>
      </c>
      <c r="K334" s="50">
        <v>84</v>
      </c>
      <c r="L334" s="50">
        <v>6.06</v>
      </c>
      <c r="M334" s="50">
        <v>5.52</v>
      </c>
      <c r="N334" s="50">
        <v>42</v>
      </c>
      <c r="O334" s="50">
        <v>10.1</v>
      </c>
      <c r="P334" s="50">
        <v>9.1999999999999993</v>
      </c>
      <c r="Q334" s="50">
        <v>37.6</v>
      </c>
      <c r="R334" s="50">
        <v>37.200000000000003</v>
      </c>
      <c r="S334" s="50">
        <v>20.6</v>
      </c>
      <c r="T334" s="50">
        <v>46</v>
      </c>
      <c r="U334" s="50">
        <v>7.65</v>
      </c>
      <c r="V334" s="50">
        <v>59.7</v>
      </c>
      <c r="W334" s="50">
        <v>58</v>
      </c>
      <c r="X334" s="50">
        <v>420</v>
      </c>
      <c r="Y334" s="50">
        <v>14.92</v>
      </c>
      <c r="Z334" s="50">
        <v>32.9</v>
      </c>
      <c r="AA334" s="50">
        <v>6.55</v>
      </c>
      <c r="AB334" s="50"/>
      <c r="AC334" s="50"/>
      <c r="AD334" s="50"/>
      <c r="AE334" s="50"/>
      <c r="AF334" s="50"/>
      <c r="AG334" s="50"/>
      <c r="AH334" s="50"/>
      <c r="AI334" s="50"/>
      <c r="AJ334" s="50"/>
    </row>
    <row r="335" spans="1:36" ht="15" customHeight="1" x14ac:dyDescent="0.25">
      <c r="A335" s="50">
        <v>67</v>
      </c>
      <c r="B335" s="50" t="s">
        <v>924</v>
      </c>
      <c r="C335" s="50" t="s">
        <v>1352</v>
      </c>
      <c r="D335" s="50">
        <v>34</v>
      </c>
      <c r="E335" s="50" t="s">
        <v>1360</v>
      </c>
      <c r="F335" s="50">
        <v>12</v>
      </c>
      <c r="G335" s="50">
        <v>4.5999999999999996</v>
      </c>
      <c r="H335" s="50">
        <v>39</v>
      </c>
      <c r="I335" s="50">
        <v>2.33</v>
      </c>
      <c r="J335" s="50">
        <v>119</v>
      </c>
      <c r="K335" s="50">
        <v>76</v>
      </c>
      <c r="L335" s="50">
        <v>5.59</v>
      </c>
      <c r="M335" s="50">
        <v>4.9400000000000004</v>
      </c>
      <c r="N335" s="50">
        <v>40</v>
      </c>
      <c r="O335" s="50">
        <v>9.1999999999999993</v>
      </c>
      <c r="P335" s="50">
        <v>9.6999999999999993</v>
      </c>
      <c r="Q335" s="50">
        <v>32.1</v>
      </c>
      <c r="R335" s="50">
        <v>39.6</v>
      </c>
      <c r="S335" s="50">
        <v>25.3</v>
      </c>
      <c r="T335" s="50">
        <v>44</v>
      </c>
      <c r="U335" s="50">
        <v>6.89</v>
      </c>
      <c r="V335" s="50">
        <v>60.6</v>
      </c>
      <c r="W335" s="50">
        <v>67</v>
      </c>
      <c r="X335" s="50">
        <v>460</v>
      </c>
      <c r="Y335" s="50">
        <v>13.65</v>
      </c>
      <c r="Z335" s="50">
        <v>37</v>
      </c>
      <c r="AA335" s="50">
        <v>7.19</v>
      </c>
      <c r="AB335" s="50"/>
      <c r="AC335" s="50"/>
      <c r="AD335" s="50"/>
      <c r="AE335" s="50"/>
      <c r="AF335" s="50"/>
      <c r="AG335" s="50"/>
      <c r="AH335" s="50"/>
      <c r="AI335" s="50"/>
      <c r="AJ335" s="50"/>
    </row>
    <row r="336" spans="1:36" ht="15" customHeight="1" x14ac:dyDescent="0.25">
      <c r="A336" s="50">
        <v>67</v>
      </c>
      <c r="B336" s="50" t="s">
        <v>924</v>
      </c>
      <c r="C336" s="50" t="s">
        <v>1352</v>
      </c>
      <c r="D336" s="50">
        <v>34</v>
      </c>
      <c r="E336" s="50" t="s">
        <v>1360</v>
      </c>
      <c r="F336" s="50">
        <v>21</v>
      </c>
      <c r="G336" s="50">
        <v>2.9</v>
      </c>
      <c r="H336" s="50">
        <v>33</v>
      </c>
      <c r="I336" s="50">
        <v>1.71</v>
      </c>
      <c r="J336" s="50">
        <v>130</v>
      </c>
      <c r="K336" s="50">
        <v>58</v>
      </c>
      <c r="L336" s="50">
        <v>3.84</v>
      </c>
      <c r="M336" s="50">
        <v>3.5</v>
      </c>
      <c r="N336" s="50">
        <v>33</v>
      </c>
      <c r="O336" s="50">
        <v>9.6</v>
      </c>
      <c r="P336" s="50">
        <v>6.8</v>
      </c>
      <c r="Q336" s="50">
        <v>26.1</v>
      </c>
      <c r="R336" s="50">
        <v>43.4</v>
      </c>
      <c r="S336" s="50">
        <v>36</v>
      </c>
      <c r="T336" s="50">
        <v>60</v>
      </c>
      <c r="U336" s="50">
        <v>5.48</v>
      </c>
      <c r="V336" s="50">
        <v>66.099999999999994</v>
      </c>
      <c r="W336" s="50">
        <v>71</v>
      </c>
      <c r="X336" s="50">
        <v>474</v>
      </c>
      <c r="Y336" s="50">
        <v>11.51</v>
      </c>
      <c r="Z336" s="50">
        <v>35.700000000000003</v>
      </c>
      <c r="AA336" s="50">
        <v>7.21</v>
      </c>
      <c r="AB336" s="50"/>
      <c r="AC336" s="50"/>
      <c r="AD336" s="50"/>
      <c r="AE336" s="50"/>
      <c r="AF336" s="50"/>
      <c r="AG336" s="50"/>
      <c r="AH336" s="50"/>
      <c r="AI336" s="50"/>
      <c r="AJ336" s="50"/>
    </row>
    <row r="337" spans="1:36" ht="15" customHeight="1" x14ac:dyDescent="0.25">
      <c r="A337" s="50">
        <v>68</v>
      </c>
      <c r="B337" s="50" t="s">
        <v>924</v>
      </c>
      <c r="C337" s="50" t="s">
        <v>1352</v>
      </c>
      <c r="D337" s="50">
        <v>23</v>
      </c>
      <c r="E337" s="50" t="s">
        <v>1355</v>
      </c>
      <c r="F337" s="50">
        <v>0</v>
      </c>
      <c r="G337" s="50">
        <v>7</v>
      </c>
      <c r="H337" s="50">
        <v>56</v>
      </c>
      <c r="I337" s="50">
        <v>3.05</v>
      </c>
      <c r="J337" s="50">
        <v>103</v>
      </c>
      <c r="K337" s="50">
        <v>100</v>
      </c>
      <c r="L337" s="50">
        <v>6.73</v>
      </c>
      <c r="M337" s="50">
        <v>6.92</v>
      </c>
      <c r="N337" s="50">
        <v>53</v>
      </c>
      <c r="O337" s="50">
        <v>15.6</v>
      </c>
      <c r="P337" s="50">
        <v>12.7</v>
      </c>
      <c r="Q337" s="50">
        <v>45.4</v>
      </c>
      <c r="R337" s="50">
        <v>32.200000000000003</v>
      </c>
      <c r="S337" s="50">
        <v>18</v>
      </c>
      <c r="T337" s="50">
        <v>28</v>
      </c>
      <c r="U337" s="50">
        <v>2.16</v>
      </c>
      <c r="V337" s="50">
        <v>60.8</v>
      </c>
      <c r="W337" s="50">
        <v>45</v>
      </c>
      <c r="X337" s="50">
        <v>305</v>
      </c>
      <c r="Y337" s="50">
        <v>16.149999999999999</v>
      </c>
      <c r="Z337" s="50">
        <v>26.3</v>
      </c>
      <c r="AA337" s="50">
        <v>6.15</v>
      </c>
      <c r="AB337" s="50"/>
      <c r="AC337" s="50"/>
      <c r="AD337" s="50"/>
      <c r="AE337" s="50"/>
      <c r="AF337" s="50"/>
      <c r="AG337" s="50"/>
      <c r="AH337" s="50"/>
      <c r="AI337" s="50"/>
      <c r="AJ337" s="50"/>
    </row>
    <row r="338" spans="1:36" ht="15" customHeight="1" x14ac:dyDescent="0.25">
      <c r="A338" s="50">
        <v>68</v>
      </c>
      <c r="B338" s="50" t="s">
        <v>924</v>
      </c>
      <c r="C338" s="50" t="s">
        <v>1352</v>
      </c>
      <c r="D338" s="50">
        <v>23</v>
      </c>
      <c r="E338" s="50" t="s">
        <v>1355</v>
      </c>
      <c r="F338" s="50">
        <v>4</v>
      </c>
      <c r="G338" s="50">
        <v>5.8</v>
      </c>
      <c r="H338" s="50">
        <v>52</v>
      </c>
      <c r="I338" s="50">
        <v>2.74</v>
      </c>
      <c r="J338" s="50">
        <v>102</v>
      </c>
      <c r="K338" s="50">
        <v>92</v>
      </c>
      <c r="L338" s="50">
        <v>5.57</v>
      </c>
      <c r="M338" s="50">
        <v>6.28</v>
      </c>
      <c r="N338" s="50">
        <v>49</v>
      </c>
      <c r="O338" s="50">
        <v>13.4</v>
      </c>
      <c r="P338" s="50">
        <v>11.6</v>
      </c>
      <c r="Q338" s="50">
        <v>39.5</v>
      </c>
      <c r="R338" s="50">
        <v>38</v>
      </c>
      <c r="S338" s="50">
        <v>23.7</v>
      </c>
      <c r="T338" s="50">
        <v>36</v>
      </c>
      <c r="U338" s="50">
        <v>1.65</v>
      </c>
      <c r="V338" s="50">
        <v>62.3</v>
      </c>
      <c r="W338" s="50">
        <v>52</v>
      </c>
      <c r="X338" s="50">
        <v>337</v>
      </c>
      <c r="Y338" s="50">
        <v>13.79</v>
      </c>
      <c r="Z338" s="50">
        <v>27.1</v>
      </c>
      <c r="AA338" s="50">
        <v>6.54</v>
      </c>
      <c r="AB338" s="50"/>
      <c r="AC338" s="50"/>
      <c r="AD338" s="50"/>
      <c r="AE338" s="50"/>
      <c r="AF338" s="50"/>
      <c r="AG338" s="50"/>
      <c r="AH338" s="50"/>
      <c r="AI338" s="50"/>
      <c r="AJ338" s="50"/>
    </row>
    <row r="339" spans="1:36" ht="15" customHeight="1" x14ac:dyDescent="0.25">
      <c r="A339" s="50">
        <v>68</v>
      </c>
      <c r="B339" s="50" t="s">
        <v>924</v>
      </c>
      <c r="C339" s="50" t="s">
        <v>1352</v>
      </c>
      <c r="D339" s="50">
        <v>23</v>
      </c>
      <c r="E339" s="50" t="s">
        <v>1355</v>
      </c>
      <c r="F339" s="50">
        <v>8</v>
      </c>
      <c r="G339" s="50">
        <v>5.5</v>
      </c>
      <c r="H339" s="50">
        <v>50</v>
      </c>
      <c r="I339" s="50">
        <v>2.5</v>
      </c>
      <c r="J339" s="50">
        <v>112</v>
      </c>
      <c r="K339" s="50">
        <v>84</v>
      </c>
      <c r="L339" s="50">
        <v>5.15</v>
      </c>
      <c r="M339" s="50">
        <v>5.84</v>
      </c>
      <c r="N339" s="50">
        <v>50</v>
      </c>
      <c r="O339" s="50">
        <v>12.6</v>
      </c>
      <c r="P339" s="50">
        <v>11.2</v>
      </c>
      <c r="Q339" s="50">
        <v>41.8</v>
      </c>
      <c r="R339" s="50">
        <v>40.4</v>
      </c>
      <c r="S339" s="50">
        <v>21.8</v>
      </c>
      <c r="T339" s="50">
        <v>36</v>
      </c>
      <c r="U339" s="50">
        <v>2.0099999999999998</v>
      </c>
      <c r="V339" s="50">
        <v>65</v>
      </c>
      <c r="W339" s="50">
        <v>54</v>
      </c>
      <c r="X339" s="50">
        <v>341</v>
      </c>
      <c r="Y339" s="50">
        <v>13.94</v>
      </c>
      <c r="Z339" s="50">
        <v>30.1</v>
      </c>
      <c r="AA339" s="50">
        <v>6.9</v>
      </c>
      <c r="AB339" s="50"/>
      <c r="AC339" s="50"/>
      <c r="AD339" s="50"/>
      <c r="AE339" s="50"/>
      <c r="AF339" s="50"/>
      <c r="AG339" s="50"/>
      <c r="AH339" s="50"/>
      <c r="AI339" s="50"/>
      <c r="AJ339" s="50"/>
    </row>
    <row r="340" spans="1:36" ht="15" customHeight="1" x14ac:dyDescent="0.25">
      <c r="A340" s="50">
        <v>68</v>
      </c>
      <c r="B340" s="50" t="s">
        <v>924</v>
      </c>
      <c r="C340" s="50" t="s">
        <v>1352</v>
      </c>
      <c r="D340" s="50">
        <v>23</v>
      </c>
      <c r="E340" s="50" t="s">
        <v>1355</v>
      </c>
      <c r="F340" s="50">
        <v>12</v>
      </c>
      <c r="G340" s="50">
        <v>5</v>
      </c>
      <c r="H340" s="50">
        <v>47</v>
      </c>
      <c r="I340" s="50">
        <v>2.3199999999999998</v>
      </c>
      <c r="J340" s="50">
        <v>116</v>
      </c>
      <c r="K340" s="50">
        <v>76</v>
      </c>
      <c r="L340" s="50">
        <v>4.6399999999999997</v>
      </c>
      <c r="M340" s="50">
        <v>5.32</v>
      </c>
      <c r="N340" s="50">
        <v>47</v>
      </c>
      <c r="O340" s="50">
        <v>13</v>
      </c>
      <c r="P340" s="50">
        <v>11</v>
      </c>
      <c r="Q340" s="50">
        <v>35.200000000000003</v>
      </c>
      <c r="R340" s="50">
        <v>42.6</v>
      </c>
      <c r="S340" s="50">
        <v>24.8</v>
      </c>
      <c r="T340" s="50">
        <v>42</v>
      </c>
      <c r="U340" s="50">
        <v>2.16</v>
      </c>
      <c r="V340" s="50">
        <v>63.2</v>
      </c>
      <c r="W340" s="50">
        <v>53</v>
      </c>
      <c r="X340" s="50">
        <v>378</v>
      </c>
      <c r="Y340" s="50">
        <v>13.53</v>
      </c>
      <c r="Z340" s="50">
        <v>30</v>
      </c>
      <c r="AA340" s="50">
        <v>6.73</v>
      </c>
      <c r="AB340" s="50"/>
      <c r="AC340" s="50"/>
      <c r="AD340" s="50"/>
      <c r="AE340" s="50"/>
      <c r="AF340" s="50"/>
      <c r="AG340" s="50"/>
      <c r="AH340" s="50"/>
      <c r="AI340" s="50"/>
      <c r="AJ340" s="50"/>
    </row>
    <row r="341" spans="1:36" ht="15" customHeight="1" x14ac:dyDescent="0.25">
      <c r="A341" s="50">
        <v>68</v>
      </c>
      <c r="B341" s="50" t="s">
        <v>924</v>
      </c>
      <c r="C341" s="50" t="s">
        <v>1352</v>
      </c>
      <c r="D341" s="50">
        <v>23</v>
      </c>
      <c r="E341" s="50" t="s">
        <v>1355</v>
      </c>
      <c r="F341" s="50">
        <v>21</v>
      </c>
      <c r="G341" s="50">
        <v>3.1</v>
      </c>
      <c r="H341" s="50">
        <v>36</v>
      </c>
      <c r="I341" s="50">
        <v>1.63</v>
      </c>
      <c r="J341" s="50">
        <v>122</v>
      </c>
      <c r="K341" s="50">
        <v>58</v>
      </c>
      <c r="L341" s="50">
        <v>2.68</v>
      </c>
      <c r="M341" s="50">
        <v>3.67</v>
      </c>
      <c r="N341" s="50">
        <v>37</v>
      </c>
      <c r="O341" s="50">
        <v>10.6</v>
      </c>
      <c r="P341" s="50">
        <v>9.9</v>
      </c>
      <c r="Q341" s="50">
        <v>32.4</v>
      </c>
      <c r="R341" s="50">
        <v>50.9</v>
      </c>
      <c r="S341" s="50">
        <v>33.299999999999997</v>
      </c>
      <c r="T341" s="50">
        <v>53</v>
      </c>
      <c r="U341" s="50">
        <v>2.16</v>
      </c>
      <c r="V341" s="50">
        <v>69.099999999999994</v>
      </c>
      <c r="W341" s="50">
        <v>65</v>
      </c>
      <c r="X341" s="50">
        <v>449</v>
      </c>
      <c r="Y341" s="50">
        <v>10.77</v>
      </c>
      <c r="Z341" s="50">
        <v>34.799999999999997</v>
      </c>
      <c r="AA341" s="50">
        <v>7.04</v>
      </c>
      <c r="AB341" s="50"/>
      <c r="AC341" s="50"/>
      <c r="AD341" s="50"/>
      <c r="AE341" s="50"/>
      <c r="AF341" s="50"/>
      <c r="AG341" s="50"/>
      <c r="AH341" s="50"/>
      <c r="AI341" s="50"/>
      <c r="AJ341" s="50"/>
    </row>
    <row r="342" spans="1:36" ht="15" customHeight="1" x14ac:dyDescent="0.25">
      <c r="A342" s="50">
        <v>69</v>
      </c>
      <c r="B342" s="50" t="s">
        <v>924</v>
      </c>
      <c r="C342" s="50" t="s">
        <v>1352</v>
      </c>
      <c r="D342" s="50">
        <v>42</v>
      </c>
      <c r="E342" s="50" t="s">
        <v>1355</v>
      </c>
      <c r="F342" s="50">
        <v>0</v>
      </c>
      <c r="G342" s="50">
        <v>6.8</v>
      </c>
      <c r="H342" s="50">
        <v>49</v>
      </c>
      <c r="I342" s="50">
        <v>3.47</v>
      </c>
      <c r="J342" s="50">
        <v>91</v>
      </c>
      <c r="K342" s="50">
        <v>100</v>
      </c>
      <c r="L342" s="50">
        <v>6.85</v>
      </c>
      <c r="M342" s="50">
        <v>6.24</v>
      </c>
      <c r="N342" s="50">
        <v>49</v>
      </c>
      <c r="O342" s="50">
        <v>19</v>
      </c>
      <c r="P342" s="50">
        <v>10</v>
      </c>
      <c r="Q342" s="50">
        <v>49.5</v>
      </c>
      <c r="R342" s="50">
        <v>33.299999999999997</v>
      </c>
      <c r="S342" s="50">
        <v>18.3</v>
      </c>
      <c r="T342" s="50">
        <v>44</v>
      </c>
      <c r="U342" s="50">
        <v>2.38</v>
      </c>
      <c r="V342" s="50">
        <v>56</v>
      </c>
      <c r="W342" s="50">
        <v>32</v>
      </c>
      <c r="X342" s="50">
        <v>352</v>
      </c>
      <c r="Y342" s="50">
        <v>17.52</v>
      </c>
      <c r="Z342" s="50">
        <v>27.7</v>
      </c>
      <c r="AA342" s="50">
        <v>4.87</v>
      </c>
      <c r="AB342" s="50"/>
      <c r="AC342" s="50"/>
      <c r="AD342" s="50"/>
      <c r="AE342" s="50"/>
      <c r="AF342" s="50"/>
      <c r="AG342" s="50"/>
      <c r="AH342" s="50"/>
      <c r="AI342" s="50"/>
      <c r="AJ342" s="50"/>
    </row>
    <row r="343" spans="1:36" ht="15" customHeight="1" x14ac:dyDescent="0.25">
      <c r="A343" s="50">
        <v>69</v>
      </c>
      <c r="B343" s="50" t="s">
        <v>924</v>
      </c>
      <c r="C343" s="50" t="s">
        <v>1352</v>
      </c>
      <c r="D343" s="50">
        <v>42</v>
      </c>
      <c r="E343" s="50" t="s">
        <v>1355</v>
      </c>
      <c r="F343" s="50">
        <v>4</v>
      </c>
      <c r="G343" s="50">
        <v>6.3</v>
      </c>
      <c r="H343" s="50">
        <v>43</v>
      </c>
      <c r="I343" s="50">
        <v>3.11</v>
      </c>
      <c r="J343" s="50">
        <v>100</v>
      </c>
      <c r="K343" s="50">
        <v>92</v>
      </c>
      <c r="L343" s="50">
        <v>6.27</v>
      </c>
      <c r="M343" s="50">
        <v>6.02</v>
      </c>
      <c r="N343" s="50">
        <v>45</v>
      </c>
      <c r="O343" s="50">
        <v>17.600000000000001</v>
      </c>
      <c r="P343" s="50">
        <v>9.4</v>
      </c>
      <c r="Q343" s="50">
        <v>44.6</v>
      </c>
      <c r="R343" s="50">
        <v>36.700000000000003</v>
      </c>
      <c r="S343" s="50">
        <v>21.7</v>
      </c>
      <c r="T343" s="50">
        <v>48</v>
      </c>
      <c r="U343" s="50">
        <v>3.24</v>
      </c>
      <c r="V343" s="50">
        <v>57.3</v>
      </c>
      <c r="W343" s="50">
        <v>37</v>
      </c>
      <c r="X343" s="50">
        <v>358</v>
      </c>
      <c r="Y343" s="50">
        <v>16.3</v>
      </c>
      <c r="Z343" s="50">
        <v>28.7</v>
      </c>
      <c r="AA343" s="50">
        <v>5.28</v>
      </c>
      <c r="AB343" s="50"/>
      <c r="AC343" s="50"/>
      <c r="AD343" s="50"/>
      <c r="AE343" s="50"/>
      <c r="AF343" s="50"/>
      <c r="AG343" s="50"/>
      <c r="AH343" s="50"/>
      <c r="AI343" s="50"/>
      <c r="AJ343" s="50"/>
    </row>
    <row r="344" spans="1:36" ht="15" customHeight="1" x14ac:dyDescent="0.25">
      <c r="A344" s="50">
        <v>69</v>
      </c>
      <c r="B344" s="50" t="s">
        <v>924</v>
      </c>
      <c r="C344" s="50" t="s">
        <v>1352</v>
      </c>
      <c r="D344" s="50">
        <v>42</v>
      </c>
      <c r="E344" s="50" t="s">
        <v>1355</v>
      </c>
      <c r="F344" s="50">
        <v>8</v>
      </c>
      <c r="G344" s="50">
        <v>5.5</v>
      </c>
      <c r="H344" s="50">
        <v>40</v>
      </c>
      <c r="I344" s="50">
        <v>2.81</v>
      </c>
      <c r="J344" s="50">
        <v>105</v>
      </c>
      <c r="K344" s="50">
        <v>84</v>
      </c>
      <c r="L344" s="50">
        <v>5.77</v>
      </c>
      <c r="M344" s="50">
        <v>5.16</v>
      </c>
      <c r="N344" s="50">
        <v>42</v>
      </c>
      <c r="O344" s="50">
        <v>16</v>
      </c>
      <c r="P344" s="50">
        <v>10</v>
      </c>
      <c r="Q344" s="50">
        <v>42.8</v>
      </c>
      <c r="R344" s="50">
        <v>40.9</v>
      </c>
      <c r="S344" s="50">
        <v>24.7</v>
      </c>
      <c r="T344" s="50">
        <v>49</v>
      </c>
      <c r="U344" s="50">
        <v>2.3199999999999998</v>
      </c>
      <c r="V344" s="50">
        <v>60.1</v>
      </c>
      <c r="W344" s="50">
        <v>46</v>
      </c>
      <c r="X344" s="50">
        <v>385</v>
      </c>
      <c r="Y344" s="50">
        <v>15</v>
      </c>
      <c r="Z344" s="50">
        <v>31</v>
      </c>
      <c r="AA344" s="50">
        <v>5.59</v>
      </c>
      <c r="AB344" s="50"/>
      <c r="AC344" s="50"/>
      <c r="AD344" s="50"/>
      <c r="AE344" s="50"/>
      <c r="AF344" s="50"/>
      <c r="AG344" s="50"/>
      <c r="AH344" s="50"/>
      <c r="AI344" s="50"/>
      <c r="AJ344" s="50"/>
    </row>
    <row r="345" spans="1:36" ht="15" customHeight="1" x14ac:dyDescent="0.25">
      <c r="A345" s="50">
        <v>69</v>
      </c>
      <c r="B345" s="50" t="s">
        <v>924</v>
      </c>
      <c r="C345" s="50" t="s">
        <v>1352</v>
      </c>
      <c r="D345" s="50">
        <v>42</v>
      </c>
      <c r="E345" s="50" t="s">
        <v>1355</v>
      </c>
      <c r="F345" s="50">
        <v>12</v>
      </c>
      <c r="G345" s="50">
        <v>4.7</v>
      </c>
      <c r="H345" s="50">
        <v>40</v>
      </c>
      <c r="I345" s="50">
        <v>2.58</v>
      </c>
      <c r="J345" s="50">
        <v>103</v>
      </c>
      <c r="K345" s="50">
        <v>76</v>
      </c>
      <c r="L345" s="50">
        <v>4.9800000000000004</v>
      </c>
      <c r="M345" s="50">
        <v>4.4000000000000004</v>
      </c>
      <c r="N345" s="50">
        <v>38</v>
      </c>
      <c r="O345" s="50">
        <v>15.1</v>
      </c>
      <c r="P345" s="50">
        <v>9.3000000000000007</v>
      </c>
      <c r="Q345" s="50">
        <v>38.1</v>
      </c>
      <c r="R345" s="50">
        <v>43.9</v>
      </c>
      <c r="S345" s="50">
        <v>27.9</v>
      </c>
      <c r="T345" s="50">
        <v>57</v>
      </c>
      <c r="U345" s="50">
        <v>1.91</v>
      </c>
      <c r="V345" s="50">
        <v>61.7</v>
      </c>
      <c r="W345" s="50">
        <v>50</v>
      </c>
      <c r="X345" s="50">
        <v>411</v>
      </c>
      <c r="Y345" s="50">
        <v>14.81</v>
      </c>
      <c r="Z345" s="50">
        <v>32.200000000000003</v>
      </c>
      <c r="AA345" s="50">
        <v>5.97</v>
      </c>
      <c r="AB345" s="50"/>
      <c r="AC345" s="50"/>
      <c r="AD345" s="50"/>
      <c r="AE345" s="50"/>
      <c r="AF345" s="50"/>
      <c r="AG345" s="50"/>
      <c r="AH345" s="50"/>
      <c r="AI345" s="50"/>
      <c r="AJ345" s="50"/>
    </row>
    <row r="346" spans="1:36" ht="15" customHeight="1" x14ac:dyDescent="0.25">
      <c r="A346" s="50">
        <v>69</v>
      </c>
      <c r="B346" s="50" t="s">
        <v>924</v>
      </c>
      <c r="C346" s="50" t="s">
        <v>1352</v>
      </c>
      <c r="D346" s="50">
        <v>42</v>
      </c>
      <c r="E346" s="50" t="s">
        <v>1355</v>
      </c>
      <c r="F346" s="50">
        <v>21</v>
      </c>
      <c r="G346" s="50">
        <v>3.3</v>
      </c>
      <c r="H346" s="50">
        <v>30</v>
      </c>
      <c r="I346" s="50">
        <v>1.81</v>
      </c>
      <c r="J346" s="50">
        <v>113</v>
      </c>
      <c r="K346" s="50">
        <v>58</v>
      </c>
      <c r="L346" s="50">
        <v>4.0199999999999996</v>
      </c>
      <c r="M346" s="50">
        <v>3.39</v>
      </c>
      <c r="N346" s="50">
        <v>34</v>
      </c>
      <c r="O346" s="50">
        <v>11.9</v>
      </c>
      <c r="P346" s="50">
        <v>7</v>
      </c>
      <c r="Q346" s="50">
        <v>34.4</v>
      </c>
      <c r="R346" s="50">
        <v>52.2</v>
      </c>
      <c r="S346" s="50">
        <v>28.9</v>
      </c>
      <c r="T346" s="50">
        <v>64</v>
      </c>
      <c r="U346" s="50">
        <v>3</v>
      </c>
      <c r="V346" s="50">
        <v>64.3</v>
      </c>
      <c r="W346" s="50">
        <v>66</v>
      </c>
      <c r="X346" s="50">
        <v>473</v>
      </c>
      <c r="Y346" s="50">
        <v>11.92</v>
      </c>
      <c r="Z346" s="50">
        <v>35.9</v>
      </c>
      <c r="AA346" s="50">
        <v>6.15</v>
      </c>
      <c r="AB346" s="50"/>
      <c r="AC346" s="50"/>
      <c r="AD346" s="50"/>
      <c r="AE346" s="50"/>
      <c r="AF346" s="50"/>
      <c r="AG346" s="50"/>
      <c r="AH346" s="50"/>
      <c r="AI346" s="50"/>
      <c r="AJ346" s="50"/>
    </row>
    <row r="347" spans="1:36" ht="15" customHeight="1" x14ac:dyDescent="0.25">
      <c r="A347" s="50">
        <v>70</v>
      </c>
      <c r="B347" s="50" t="s">
        <v>924</v>
      </c>
      <c r="C347" s="50" t="s">
        <v>1352</v>
      </c>
      <c r="D347" s="50">
        <v>26</v>
      </c>
      <c r="E347" s="50" t="s">
        <v>1359</v>
      </c>
      <c r="F347" s="50">
        <v>0</v>
      </c>
      <c r="G347" s="50">
        <v>6.5</v>
      </c>
      <c r="H347" s="50">
        <v>42</v>
      </c>
      <c r="I347" s="50">
        <v>3.06</v>
      </c>
      <c r="J347" s="50">
        <v>103</v>
      </c>
      <c r="K347" s="50">
        <v>100</v>
      </c>
      <c r="L347" s="50">
        <v>6.92</v>
      </c>
      <c r="M347" s="50">
        <v>5.61</v>
      </c>
      <c r="N347" s="50">
        <v>45</v>
      </c>
      <c r="O347" s="50">
        <v>15.5</v>
      </c>
      <c r="P347" s="50">
        <v>14.5</v>
      </c>
      <c r="Q347" s="50">
        <v>46.2</v>
      </c>
      <c r="R347" s="50">
        <v>34.799999999999997</v>
      </c>
      <c r="S347" s="50">
        <v>14.5</v>
      </c>
      <c r="T347" s="50">
        <v>51</v>
      </c>
      <c r="U347" s="50">
        <v>9.3800000000000008</v>
      </c>
      <c r="V347" s="50">
        <v>58</v>
      </c>
      <c r="W347" s="50">
        <v>58</v>
      </c>
      <c r="X347" s="50">
        <v>366</v>
      </c>
      <c r="Y347" s="50">
        <v>17.579999999999998</v>
      </c>
      <c r="Z347" s="50">
        <v>22.9</v>
      </c>
      <c r="AA347" s="50">
        <v>5.14</v>
      </c>
      <c r="AB347" s="50"/>
      <c r="AC347" s="50"/>
      <c r="AD347" s="50"/>
      <c r="AE347" s="50"/>
      <c r="AF347" s="50"/>
      <c r="AG347" s="50"/>
      <c r="AH347" s="50"/>
      <c r="AI347" s="50"/>
      <c r="AJ347" s="50"/>
    </row>
    <row r="348" spans="1:36" ht="15" customHeight="1" x14ac:dyDescent="0.25">
      <c r="A348" s="50">
        <v>70</v>
      </c>
      <c r="B348" s="50" t="s">
        <v>924</v>
      </c>
      <c r="C348" s="50" t="s">
        <v>1352</v>
      </c>
      <c r="D348" s="50">
        <v>26</v>
      </c>
      <c r="E348" s="50" t="s">
        <v>1359</v>
      </c>
      <c r="F348" s="50">
        <v>4</v>
      </c>
      <c r="G348" s="50">
        <v>5.8</v>
      </c>
      <c r="H348" s="50">
        <v>40</v>
      </c>
      <c r="I348" s="50">
        <v>2.72</v>
      </c>
      <c r="J348" s="50">
        <v>102</v>
      </c>
      <c r="K348" s="50">
        <v>92</v>
      </c>
      <c r="L348" s="50">
        <v>6.31</v>
      </c>
      <c r="M348" s="50">
        <v>5.31</v>
      </c>
      <c r="N348" s="50">
        <v>38</v>
      </c>
      <c r="O348" s="50">
        <v>12.8</v>
      </c>
      <c r="P348" s="50">
        <v>14.3</v>
      </c>
      <c r="Q348" s="50">
        <v>43.9</v>
      </c>
      <c r="R348" s="50">
        <v>39.299999999999997</v>
      </c>
      <c r="S348" s="50">
        <v>16.7</v>
      </c>
      <c r="T348" s="50">
        <v>52</v>
      </c>
      <c r="U348" s="50">
        <v>7.64</v>
      </c>
      <c r="V348" s="50">
        <v>60.9</v>
      </c>
      <c r="W348" s="50">
        <v>60</v>
      </c>
      <c r="X348" s="50">
        <v>394</v>
      </c>
      <c r="Y348" s="50">
        <v>16.22</v>
      </c>
      <c r="Z348" s="50">
        <v>25.6</v>
      </c>
      <c r="AA348" s="50">
        <v>5.66</v>
      </c>
      <c r="AB348" s="50"/>
      <c r="AC348" s="50"/>
      <c r="AD348" s="50"/>
      <c r="AE348" s="50"/>
      <c r="AF348" s="50"/>
      <c r="AG348" s="50"/>
      <c r="AH348" s="50"/>
      <c r="AI348" s="50"/>
      <c r="AJ348" s="50"/>
    </row>
    <row r="349" spans="1:36" ht="15" customHeight="1" x14ac:dyDescent="0.25">
      <c r="A349" s="50">
        <v>70</v>
      </c>
      <c r="B349" s="50" t="s">
        <v>924</v>
      </c>
      <c r="C349" s="50" t="s">
        <v>1352</v>
      </c>
      <c r="D349" s="50">
        <v>26</v>
      </c>
      <c r="E349" s="50" t="s">
        <v>1359</v>
      </c>
      <c r="F349" s="50">
        <v>8</v>
      </c>
      <c r="G349" s="50">
        <v>5.3</v>
      </c>
      <c r="H349" s="50">
        <v>37</v>
      </c>
      <c r="I349" s="50">
        <v>2.56</v>
      </c>
      <c r="J349" s="50">
        <v>113</v>
      </c>
      <c r="K349" s="50">
        <v>84</v>
      </c>
      <c r="L349" s="50">
        <v>5.78</v>
      </c>
      <c r="M349" s="50">
        <v>4.92</v>
      </c>
      <c r="N349" s="50">
        <v>37</v>
      </c>
      <c r="O349" s="50">
        <v>11.9</v>
      </c>
      <c r="P349" s="50">
        <v>13</v>
      </c>
      <c r="Q349" s="50">
        <v>40.5</v>
      </c>
      <c r="R349" s="50">
        <v>43.8</v>
      </c>
      <c r="S349" s="50">
        <v>18.899999999999999</v>
      </c>
      <c r="T349" s="50">
        <v>52</v>
      </c>
      <c r="U349" s="50">
        <v>7.84</v>
      </c>
      <c r="V349" s="50">
        <v>60.8</v>
      </c>
      <c r="W349" s="50">
        <v>62</v>
      </c>
      <c r="X349" s="50">
        <v>415</v>
      </c>
      <c r="Y349" s="50">
        <v>15.47</v>
      </c>
      <c r="Z349" s="50">
        <v>25.6</v>
      </c>
      <c r="AA349" s="50">
        <v>5.88</v>
      </c>
      <c r="AB349" s="50"/>
      <c r="AC349" s="50"/>
      <c r="AD349" s="50"/>
      <c r="AE349" s="50"/>
      <c r="AF349" s="50"/>
      <c r="AG349" s="50"/>
      <c r="AH349" s="50"/>
      <c r="AI349" s="50"/>
      <c r="AJ349" s="50"/>
    </row>
    <row r="350" spans="1:36" ht="15" customHeight="1" x14ac:dyDescent="0.25">
      <c r="A350" s="50">
        <v>70</v>
      </c>
      <c r="B350" s="50" t="s">
        <v>924</v>
      </c>
      <c r="C350" s="50" t="s">
        <v>1352</v>
      </c>
      <c r="D350" s="50">
        <v>26</v>
      </c>
      <c r="E350" s="50" t="s">
        <v>1359</v>
      </c>
      <c r="F350" s="50">
        <v>12</v>
      </c>
      <c r="G350" s="50">
        <v>4.5999999999999996</v>
      </c>
      <c r="H350" s="50">
        <v>34</v>
      </c>
      <c r="I350" s="50">
        <v>2.2599999999999998</v>
      </c>
      <c r="J350" s="50">
        <v>113</v>
      </c>
      <c r="K350" s="50">
        <v>76</v>
      </c>
      <c r="L350" s="50">
        <v>5.21</v>
      </c>
      <c r="M350" s="50">
        <v>4.62</v>
      </c>
      <c r="N350" s="50">
        <v>35</v>
      </c>
      <c r="O350" s="50">
        <v>12</v>
      </c>
      <c r="P350" s="50">
        <v>11.2</v>
      </c>
      <c r="Q350" s="50">
        <v>41.3</v>
      </c>
      <c r="R350" s="50">
        <v>51.1</v>
      </c>
      <c r="S350" s="50">
        <v>22.4</v>
      </c>
      <c r="T350" s="50">
        <v>60</v>
      </c>
      <c r="U350" s="50">
        <v>8.18</v>
      </c>
      <c r="V350" s="50">
        <v>61.8</v>
      </c>
      <c r="W350" s="50">
        <v>65</v>
      </c>
      <c r="X350" s="50">
        <v>440</v>
      </c>
      <c r="Y350" s="50">
        <v>14.22</v>
      </c>
      <c r="Z350" s="50">
        <v>25.8</v>
      </c>
      <c r="AA350" s="50">
        <v>6.13</v>
      </c>
      <c r="AB350" s="50"/>
      <c r="AC350" s="50"/>
      <c r="AD350" s="50"/>
      <c r="AE350" s="50"/>
      <c r="AF350" s="50"/>
      <c r="AG350" s="50"/>
      <c r="AH350" s="50"/>
      <c r="AI350" s="50"/>
      <c r="AJ350" s="50"/>
    </row>
    <row r="351" spans="1:36" ht="15" customHeight="1" x14ac:dyDescent="0.25">
      <c r="A351" s="50">
        <v>70</v>
      </c>
      <c r="B351" s="50" t="s">
        <v>924</v>
      </c>
      <c r="C351" s="50" t="s">
        <v>1352</v>
      </c>
      <c r="D351" s="50">
        <v>26</v>
      </c>
      <c r="E351" s="50" t="s">
        <v>1359</v>
      </c>
      <c r="F351" s="50">
        <v>21</v>
      </c>
      <c r="G351" s="50">
        <v>2.8</v>
      </c>
      <c r="H351" s="50">
        <v>27</v>
      </c>
      <c r="I351" s="50">
        <v>1.61</v>
      </c>
      <c r="J351" s="50">
        <v>120</v>
      </c>
      <c r="K351" s="50">
        <v>58</v>
      </c>
      <c r="L351" s="50">
        <v>3.43</v>
      </c>
      <c r="M351" s="50">
        <v>3.37</v>
      </c>
      <c r="N351" s="50">
        <v>27</v>
      </c>
      <c r="O351" s="50">
        <v>8.3000000000000007</v>
      </c>
      <c r="P351" s="50">
        <v>8.9</v>
      </c>
      <c r="Q351" s="50">
        <v>30.7</v>
      </c>
      <c r="R351" s="50">
        <v>61.6</v>
      </c>
      <c r="S351" s="50">
        <v>35.299999999999997</v>
      </c>
      <c r="T351" s="50">
        <v>62</v>
      </c>
      <c r="U351" s="50">
        <v>5.2</v>
      </c>
      <c r="V351" s="50">
        <v>64.3</v>
      </c>
      <c r="W351" s="50">
        <v>65</v>
      </c>
      <c r="X351" s="50">
        <v>494</v>
      </c>
      <c r="Y351" s="50">
        <v>10.42</v>
      </c>
      <c r="Z351" s="50">
        <v>31.1</v>
      </c>
      <c r="AA351" s="50">
        <v>6.61</v>
      </c>
      <c r="AB351" s="50"/>
      <c r="AC351" s="50"/>
      <c r="AD351" s="50"/>
      <c r="AE351" s="50"/>
      <c r="AF351" s="50"/>
      <c r="AG351" s="50"/>
      <c r="AH351" s="50"/>
      <c r="AI351" s="50"/>
      <c r="AJ351" s="50"/>
    </row>
    <row r="352" spans="1:36" ht="15" customHeight="1" x14ac:dyDescent="0.25">
      <c r="A352" s="50">
        <v>71</v>
      </c>
      <c r="B352" s="50" t="s">
        <v>924</v>
      </c>
      <c r="C352" s="50" t="s">
        <v>1352</v>
      </c>
      <c r="D352" s="50">
        <v>37</v>
      </c>
      <c r="E352" s="50" t="s">
        <v>1360</v>
      </c>
      <c r="F352" s="50">
        <v>0</v>
      </c>
      <c r="G352" s="50">
        <v>6.3</v>
      </c>
      <c r="H352" s="50">
        <v>46</v>
      </c>
      <c r="I352" s="50">
        <v>3.88</v>
      </c>
      <c r="J352" s="50">
        <v>114</v>
      </c>
      <c r="K352" s="50">
        <v>100</v>
      </c>
      <c r="L352" s="50">
        <v>6.6</v>
      </c>
      <c r="M352" s="50">
        <v>5.0999999999999996</v>
      </c>
      <c r="N352" s="50">
        <v>38</v>
      </c>
      <c r="O352" s="50">
        <v>13.6</v>
      </c>
      <c r="P352" s="50">
        <v>12.2</v>
      </c>
      <c r="Q352" s="50">
        <v>43.1</v>
      </c>
      <c r="R352" s="50">
        <v>19.899999999999999</v>
      </c>
      <c r="S352" s="50">
        <v>15.5</v>
      </c>
      <c r="T352" s="50">
        <v>37</v>
      </c>
      <c r="U352" s="50">
        <v>16.46</v>
      </c>
      <c r="V352" s="50">
        <v>52.4</v>
      </c>
      <c r="W352" s="50">
        <v>45</v>
      </c>
      <c r="X352" s="50">
        <v>363</v>
      </c>
      <c r="Y352" s="50">
        <v>12.52</v>
      </c>
      <c r="Z352" s="50">
        <v>23</v>
      </c>
      <c r="AA352" s="50">
        <v>4.47</v>
      </c>
      <c r="AB352" s="50"/>
      <c r="AC352" s="50"/>
      <c r="AD352" s="50"/>
      <c r="AE352" s="50"/>
      <c r="AF352" s="50"/>
      <c r="AG352" s="50"/>
      <c r="AH352" s="50"/>
      <c r="AI352" s="50"/>
      <c r="AJ352" s="50"/>
    </row>
    <row r="353" spans="1:36" ht="15" customHeight="1" x14ac:dyDescent="0.25">
      <c r="A353" s="50">
        <v>71</v>
      </c>
      <c r="B353" s="50" t="s">
        <v>924</v>
      </c>
      <c r="C353" s="50" t="s">
        <v>1352</v>
      </c>
      <c r="D353" s="50">
        <v>37</v>
      </c>
      <c r="E353" s="50" t="s">
        <v>1360</v>
      </c>
      <c r="F353" s="50">
        <v>4</v>
      </c>
      <c r="G353" s="50">
        <v>5.8</v>
      </c>
      <c r="H353" s="50">
        <v>41</v>
      </c>
      <c r="I353" s="50">
        <v>3.71</v>
      </c>
      <c r="J353" s="50">
        <v>116</v>
      </c>
      <c r="K353" s="50">
        <v>92</v>
      </c>
      <c r="L353" s="50">
        <v>6.38</v>
      </c>
      <c r="M353" s="50">
        <v>4.92</v>
      </c>
      <c r="N353" s="50">
        <v>33</v>
      </c>
      <c r="O353" s="50">
        <v>12.7</v>
      </c>
      <c r="P353" s="50">
        <v>12.1</v>
      </c>
      <c r="Q353" s="50">
        <v>38.1</v>
      </c>
      <c r="R353" s="50">
        <v>26.4</v>
      </c>
      <c r="S353" s="50">
        <v>17.2</v>
      </c>
      <c r="T353" s="50">
        <v>41</v>
      </c>
      <c r="U353" s="50">
        <v>14.41</v>
      </c>
      <c r="V353" s="50">
        <v>54.7</v>
      </c>
      <c r="W353" s="50">
        <v>50</v>
      </c>
      <c r="X353" s="50">
        <v>391</v>
      </c>
      <c r="Y353" s="50">
        <v>12.14</v>
      </c>
      <c r="Z353" s="50">
        <v>24.9</v>
      </c>
      <c r="AA353" s="50">
        <v>4.67</v>
      </c>
      <c r="AB353" s="50"/>
      <c r="AC353" s="50"/>
      <c r="AD353" s="50"/>
      <c r="AE353" s="50"/>
      <c r="AF353" s="50"/>
      <c r="AG353" s="50"/>
      <c r="AH353" s="50"/>
      <c r="AI353" s="50"/>
      <c r="AJ353" s="50"/>
    </row>
    <row r="354" spans="1:36" ht="15" customHeight="1" x14ac:dyDescent="0.25">
      <c r="A354" s="50">
        <v>71</v>
      </c>
      <c r="B354" s="50" t="s">
        <v>924</v>
      </c>
      <c r="C354" s="50" t="s">
        <v>1352</v>
      </c>
      <c r="D354" s="50">
        <v>37</v>
      </c>
      <c r="E354" s="50" t="s">
        <v>1360</v>
      </c>
      <c r="F354" s="50">
        <v>8</v>
      </c>
      <c r="G354" s="50">
        <v>5</v>
      </c>
      <c r="H354" s="50">
        <v>39</v>
      </c>
      <c r="I354" s="50">
        <v>3.28</v>
      </c>
      <c r="J354" s="50">
        <v>123</v>
      </c>
      <c r="K354" s="50">
        <v>84</v>
      </c>
      <c r="L354" s="50">
        <v>5.43</v>
      </c>
      <c r="M354" s="50">
        <v>4.13</v>
      </c>
      <c r="N354" s="50">
        <v>32</v>
      </c>
      <c r="O354" s="50">
        <v>12.6</v>
      </c>
      <c r="P354" s="50">
        <v>11.2</v>
      </c>
      <c r="Q354" s="50">
        <v>35.9</v>
      </c>
      <c r="R354" s="50">
        <v>33.5</v>
      </c>
      <c r="S354" s="50">
        <v>22</v>
      </c>
      <c r="T354" s="50">
        <v>45</v>
      </c>
      <c r="U354" s="50">
        <v>12.39</v>
      </c>
      <c r="V354" s="50">
        <v>57.7</v>
      </c>
      <c r="W354" s="50">
        <v>50</v>
      </c>
      <c r="X354" s="50">
        <v>442</v>
      </c>
      <c r="Y354" s="50">
        <v>11.41</v>
      </c>
      <c r="Z354" s="50">
        <v>28.7</v>
      </c>
      <c r="AA354" s="50">
        <v>4.66</v>
      </c>
      <c r="AB354" s="50"/>
      <c r="AC354" s="50"/>
      <c r="AD354" s="50"/>
      <c r="AE354" s="50"/>
      <c r="AF354" s="50"/>
      <c r="AG354" s="50"/>
      <c r="AH354" s="50"/>
      <c r="AI354" s="50"/>
      <c r="AJ354" s="50"/>
    </row>
    <row r="355" spans="1:36" ht="15" customHeight="1" x14ac:dyDescent="0.25">
      <c r="A355" s="50">
        <v>71</v>
      </c>
      <c r="B355" s="50" t="s">
        <v>924</v>
      </c>
      <c r="C355" s="50" t="s">
        <v>1352</v>
      </c>
      <c r="D355" s="50">
        <v>37</v>
      </c>
      <c r="E355" s="50" t="s">
        <v>1360</v>
      </c>
      <c r="F355" s="50">
        <v>12</v>
      </c>
      <c r="G355" s="50">
        <v>4.4000000000000004</v>
      </c>
      <c r="H355" s="50">
        <v>35</v>
      </c>
      <c r="I355" s="50">
        <v>2.99</v>
      </c>
      <c r="J355" s="50">
        <v>123</v>
      </c>
      <c r="K355" s="50">
        <v>76</v>
      </c>
      <c r="L355" s="50">
        <v>5.03</v>
      </c>
      <c r="M355" s="50">
        <v>4.0199999999999996</v>
      </c>
      <c r="N355" s="50">
        <v>30</v>
      </c>
      <c r="O355" s="50">
        <v>10.3</v>
      </c>
      <c r="P355" s="50">
        <v>9.8000000000000007</v>
      </c>
      <c r="Q355" s="50">
        <v>35.4</v>
      </c>
      <c r="R355" s="50">
        <v>36.700000000000003</v>
      </c>
      <c r="S355" s="50">
        <v>24</v>
      </c>
      <c r="T355" s="50">
        <v>46</v>
      </c>
      <c r="U355" s="50">
        <v>10.49</v>
      </c>
      <c r="V355" s="50">
        <v>61.2</v>
      </c>
      <c r="W355" s="50">
        <v>55</v>
      </c>
      <c r="X355" s="50">
        <v>433</v>
      </c>
      <c r="Y355" s="50">
        <v>11.41</v>
      </c>
      <c r="Z355" s="50">
        <v>33.200000000000003</v>
      </c>
      <c r="AA355" s="50">
        <v>5.46</v>
      </c>
      <c r="AB355" s="50"/>
      <c r="AC355" s="50"/>
      <c r="AD355" s="50"/>
      <c r="AE355" s="50"/>
      <c r="AF355" s="50"/>
      <c r="AG355" s="50"/>
      <c r="AH355" s="50"/>
      <c r="AI355" s="50"/>
      <c r="AJ355" s="50"/>
    </row>
    <row r="356" spans="1:36" ht="15" customHeight="1" x14ac:dyDescent="0.25">
      <c r="A356" s="50">
        <v>71</v>
      </c>
      <c r="B356" s="50" t="s">
        <v>924</v>
      </c>
      <c r="C356" s="50" t="s">
        <v>1352</v>
      </c>
      <c r="D356" s="50">
        <v>37</v>
      </c>
      <c r="E356" s="50" t="s">
        <v>1360</v>
      </c>
      <c r="F356" s="50">
        <v>21</v>
      </c>
      <c r="G356" s="50">
        <v>2.9</v>
      </c>
      <c r="H356" s="50">
        <v>28</v>
      </c>
      <c r="I356" s="50">
        <v>2.11</v>
      </c>
      <c r="J356" s="50">
        <v>134</v>
      </c>
      <c r="K356" s="50">
        <v>58</v>
      </c>
      <c r="L356" s="50">
        <v>3.6</v>
      </c>
      <c r="M356" s="50">
        <v>3.17</v>
      </c>
      <c r="N356" s="50">
        <v>25</v>
      </c>
      <c r="O356" s="50">
        <v>8.1999999999999993</v>
      </c>
      <c r="P356" s="50">
        <v>7.2</v>
      </c>
      <c r="Q356" s="50">
        <v>28.8</v>
      </c>
      <c r="R356" s="50">
        <v>45.6</v>
      </c>
      <c r="S356" s="50">
        <v>35.200000000000003</v>
      </c>
      <c r="T356" s="50">
        <v>52</v>
      </c>
      <c r="U356" s="50">
        <v>8.56</v>
      </c>
      <c r="V356" s="50">
        <v>63.8</v>
      </c>
      <c r="W356" s="50">
        <v>63</v>
      </c>
      <c r="X356" s="50">
        <v>517</v>
      </c>
      <c r="Y356" s="50">
        <v>8.7799999999999994</v>
      </c>
      <c r="Z356" s="50">
        <v>38.700000000000003</v>
      </c>
      <c r="AA356" s="50">
        <v>5.98</v>
      </c>
      <c r="AB356" s="50"/>
      <c r="AC356" s="50"/>
      <c r="AD356" s="50"/>
      <c r="AE356" s="50"/>
      <c r="AF356" s="50"/>
      <c r="AG356" s="50"/>
      <c r="AH356" s="50"/>
      <c r="AI356" s="50"/>
      <c r="AJ356" s="50"/>
    </row>
    <row r="357" spans="1:36" ht="15" customHeight="1" x14ac:dyDescent="0.25">
      <c r="A357" s="50">
        <v>72</v>
      </c>
      <c r="B357" s="50" t="s">
        <v>924</v>
      </c>
      <c r="C357" s="50" t="s">
        <v>1352</v>
      </c>
      <c r="D357" s="50">
        <v>44</v>
      </c>
      <c r="E357" s="50" t="s">
        <v>1360</v>
      </c>
      <c r="F357" s="50">
        <v>0</v>
      </c>
      <c r="G357" s="50">
        <v>7.2</v>
      </c>
      <c r="H357" s="50">
        <v>50</v>
      </c>
      <c r="I357" s="50">
        <v>3.23</v>
      </c>
      <c r="J357" s="50">
        <v>118</v>
      </c>
      <c r="K357" s="50">
        <v>100</v>
      </c>
      <c r="L357" s="50">
        <v>6.22</v>
      </c>
      <c r="M357" s="50">
        <v>5.16</v>
      </c>
      <c r="N357" s="50">
        <v>37</v>
      </c>
      <c r="O357" s="50">
        <v>15.9</v>
      </c>
      <c r="P357" s="50">
        <v>11.2</v>
      </c>
      <c r="Q357" s="50">
        <v>42.6</v>
      </c>
      <c r="R357" s="50">
        <v>39.6</v>
      </c>
      <c r="S357" s="50">
        <v>25.1</v>
      </c>
      <c r="T357" s="50">
        <v>41</v>
      </c>
      <c r="U357" s="50">
        <v>14.17</v>
      </c>
      <c r="V357" s="50">
        <v>64.900000000000006</v>
      </c>
      <c r="W357" s="50">
        <v>39</v>
      </c>
      <c r="X357" s="50">
        <v>464</v>
      </c>
      <c r="Y357" s="50">
        <v>13.12</v>
      </c>
      <c r="Z357" s="50">
        <v>30</v>
      </c>
      <c r="AA357" s="50">
        <v>5.18</v>
      </c>
      <c r="AB357" s="50"/>
      <c r="AC357" s="50"/>
      <c r="AD357" s="50"/>
      <c r="AE357" s="50"/>
      <c r="AF357" s="50"/>
      <c r="AG357" s="50"/>
      <c r="AH357" s="50"/>
      <c r="AI357" s="50"/>
      <c r="AJ357" s="50"/>
    </row>
    <row r="358" spans="1:36" ht="15" customHeight="1" x14ac:dyDescent="0.25">
      <c r="A358" s="50">
        <v>72</v>
      </c>
      <c r="B358" s="50" t="s">
        <v>924</v>
      </c>
      <c r="C358" s="50" t="s">
        <v>1352</v>
      </c>
      <c r="D358" s="50">
        <v>44</v>
      </c>
      <c r="E358" s="50" t="s">
        <v>1360</v>
      </c>
      <c r="F358" s="50">
        <v>4</v>
      </c>
      <c r="G358" s="50">
        <v>6.8</v>
      </c>
      <c r="H358" s="50">
        <v>46</v>
      </c>
      <c r="I358" s="50">
        <v>2.92</v>
      </c>
      <c r="J358" s="50">
        <v>124</v>
      </c>
      <c r="K358" s="50">
        <v>92</v>
      </c>
      <c r="L358" s="50">
        <v>6.07</v>
      </c>
      <c r="M358" s="50">
        <v>5.14</v>
      </c>
      <c r="N358" s="50">
        <v>35</v>
      </c>
      <c r="O358" s="50">
        <v>15.3</v>
      </c>
      <c r="P358" s="50">
        <v>10.7</v>
      </c>
      <c r="Q358" s="50">
        <v>42.8</v>
      </c>
      <c r="R358" s="50">
        <v>40.700000000000003</v>
      </c>
      <c r="S358" s="50">
        <v>27.1</v>
      </c>
      <c r="T358" s="50">
        <v>41</v>
      </c>
      <c r="U358" s="50">
        <v>14.24</v>
      </c>
      <c r="V358" s="50">
        <v>66.3</v>
      </c>
      <c r="W358" s="50">
        <v>39</v>
      </c>
      <c r="X358" s="50">
        <v>470</v>
      </c>
      <c r="Y358" s="50">
        <v>12.3</v>
      </c>
      <c r="Z358" s="50">
        <v>30.9</v>
      </c>
      <c r="AA358" s="50">
        <v>4.9400000000000004</v>
      </c>
      <c r="AB358" s="50"/>
      <c r="AC358" s="50"/>
      <c r="AD358" s="50"/>
      <c r="AE358" s="50"/>
      <c r="AF358" s="50"/>
      <c r="AG358" s="50"/>
      <c r="AH358" s="50"/>
      <c r="AI358" s="50"/>
      <c r="AJ358" s="50"/>
    </row>
    <row r="359" spans="1:36" ht="15" customHeight="1" x14ac:dyDescent="0.25">
      <c r="A359" s="50">
        <v>72</v>
      </c>
      <c r="B359" s="50" t="s">
        <v>924</v>
      </c>
      <c r="C359" s="50" t="s">
        <v>1352</v>
      </c>
      <c r="D359" s="50">
        <v>44</v>
      </c>
      <c r="E359" s="50" t="s">
        <v>1360</v>
      </c>
      <c r="F359" s="50">
        <v>8</v>
      </c>
      <c r="G359" s="50">
        <v>5.8</v>
      </c>
      <c r="H359" s="50">
        <v>43</v>
      </c>
      <c r="I359" s="50">
        <v>2.66</v>
      </c>
      <c r="J359" s="50">
        <v>124</v>
      </c>
      <c r="K359" s="50">
        <v>84</v>
      </c>
      <c r="L359" s="50">
        <v>5.17</v>
      </c>
      <c r="M359" s="50">
        <v>4.5999999999999996</v>
      </c>
      <c r="N359" s="50">
        <v>32</v>
      </c>
      <c r="O359" s="50">
        <v>14.7</v>
      </c>
      <c r="P359" s="50">
        <v>10.3</v>
      </c>
      <c r="Q359" s="50">
        <v>35.700000000000003</v>
      </c>
      <c r="R359" s="50">
        <v>48.1</v>
      </c>
      <c r="S359" s="50">
        <v>29.7</v>
      </c>
      <c r="T359" s="50">
        <v>49</v>
      </c>
      <c r="U359" s="50">
        <v>13.14</v>
      </c>
      <c r="V359" s="50">
        <v>66.400000000000006</v>
      </c>
      <c r="W359" s="50">
        <v>45</v>
      </c>
      <c r="X359" s="50">
        <v>475</v>
      </c>
      <c r="Y359" s="50">
        <v>11.75</v>
      </c>
      <c r="Z359" s="50">
        <v>33.700000000000003</v>
      </c>
      <c r="AA359" s="50">
        <v>5.49</v>
      </c>
      <c r="AB359" s="50"/>
      <c r="AC359" s="50"/>
      <c r="AD359" s="50"/>
      <c r="AE359" s="50"/>
      <c r="AF359" s="50"/>
      <c r="AG359" s="50"/>
      <c r="AH359" s="50"/>
      <c r="AI359" s="50"/>
      <c r="AJ359" s="50"/>
    </row>
    <row r="360" spans="1:36" ht="15" customHeight="1" x14ac:dyDescent="0.25">
      <c r="A360" s="50">
        <v>72</v>
      </c>
      <c r="B360" s="50" t="s">
        <v>924</v>
      </c>
      <c r="C360" s="50" t="s">
        <v>1352</v>
      </c>
      <c r="D360" s="50">
        <v>44</v>
      </c>
      <c r="E360" s="50" t="s">
        <v>1360</v>
      </c>
      <c r="F360" s="50">
        <v>12</v>
      </c>
      <c r="G360" s="50">
        <v>5.3</v>
      </c>
      <c r="H360" s="50">
        <v>38</v>
      </c>
      <c r="I360" s="50">
        <v>2.4</v>
      </c>
      <c r="J360" s="50">
        <v>134</v>
      </c>
      <c r="K360" s="50">
        <v>76</v>
      </c>
      <c r="L360" s="50">
        <v>4.8099999999999996</v>
      </c>
      <c r="M360" s="50">
        <v>4.1900000000000004</v>
      </c>
      <c r="N360" s="50">
        <v>33</v>
      </c>
      <c r="O360" s="50">
        <v>14</v>
      </c>
      <c r="P360" s="50">
        <v>11.1</v>
      </c>
      <c r="Q360" s="50">
        <v>37.1</v>
      </c>
      <c r="R360" s="50">
        <v>50.2</v>
      </c>
      <c r="S360" s="50">
        <v>29.9</v>
      </c>
      <c r="T360" s="50">
        <v>47</v>
      </c>
      <c r="U360" s="50">
        <v>11.36</v>
      </c>
      <c r="V360" s="50">
        <v>70.400000000000006</v>
      </c>
      <c r="W360" s="50">
        <v>52</v>
      </c>
      <c r="X360" s="50">
        <v>488</v>
      </c>
      <c r="Y360" s="50">
        <v>11.8</v>
      </c>
      <c r="Z360" s="50">
        <v>34.1</v>
      </c>
      <c r="AA360" s="50">
        <v>5.79</v>
      </c>
      <c r="AB360" s="50"/>
      <c r="AC360" s="50"/>
      <c r="AD360" s="50"/>
      <c r="AE360" s="50"/>
      <c r="AF360" s="50"/>
      <c r="AG360" s="50"/>
      <c r="AH360" s="50"/>
      <c r="AI360" s="50"/>
      <c r="AJ360" s="50"/>
    </row>
    <row r="361" spans="1:36" ht="15" customHeight="1" x14ac:dyDescent="0.25">
      <c r="A361" s="50">
        <v>72</v>
      </c>
      <c r="B361" s="50" t="s">
        <v>924</v>
      </c>
      <c r="C361" s="50" t="s">
        <v>1352</v>
      </c>
      <c r="D361" s="50">
        <v>44</v>
      </c>
      <c r="E361" s="50" t="s">
        <v>1360</v>
      </c>
      <c r="F361" s="50">
        <v>21</v>
      </c>
      <c r="G361" s="50">
        <v>3.2</v>
      </c>
      <c r="H361" s="50">
        <v>32</v>
      </c>
      <c r="I361" s="50">
        <v>1.66</v>
      </c>
      <c r="J361" s="50">
        <v>142</v>
      </c>
      <c r="K361" s="50">
        <v>58</v>
      </c>
      <c r="L361" s="50">
        <v>2.95</v>
      </c>
      <c r="M361" s="50">
        <v>3.33</v>
      </c>
      <c r="N361" s="50">
        <v>30</v>
      </c>
      <c r="O361" s="50">
        <v>12.3</v>
      </c>
      <c r="P361" s="50">
        <v>8.5</v>
      </c>
      <c r="Q361" s="50">
        <v>23.7</v>
      </c>
      <c r="R361" s="50">
        <v>65.2</v>
      </c>
      <c r="S361" s="50">
        <v>38</v>
      </c>
      <c r="T361" s="50">
        <v>59</v>
      </c>
      <c r="U361" s="50">
        <v>9.2799999999999994</v>
      </c>
      <c r="V361" s="50">
        <v>71.5</v>
      </c>
      <c r="W361" s="50">
        <v>69</v>
      </c>
      <c r="X361" s="50">
        <v>520</v>
      </c>
      <c r="Y361" s="50">
        <v>10.27</v>
      </c>
      <c r="Z361" s="50">
        <v>40.4</v>
      </c>
      <c r="AA361" s="50">
        <v>6.55</v>
      </c>
      <c r="AB361" s="50"/>
      <c r="AC361" s="50"/>
      <c r="AD361" s="50"/>
      <c r="AE361" s="50"/>
      <c r="AF361" s="50"/>
      <c r="AG361" s="50"/>
      <c r="AH361" s="50"/>
      <c r="AI361" s="50"/>
      <c r="AJ361" s="50"/>
    </row>
    <row r="362" spans="1:36" ht="15" customHeight="1" x14ac:dyDescent="0.25">
      <c r="A362" s="50">
        <v>73</v>
      </c>
      <c r="B362" s="50" t="s">
        <v>924</v>
      </c>
      <c r="C362" s="50" t="s">
        <v>1357</v>
      </c>
      <c r="D362" s="50">
        <v>30</v>
      </c>
      <c r="E362" s="50" t="s">
        <v>1359</v>
      </c>
      <c r="F362" s="50">
        <v>0</v>
      </c>
      <c r="G362" s="50">
        <v>6.9</v>
      </c>
      <c r="H362" s="50">
        <v>28</v>
      </c>
      <c r="I362" s="50">
        <v>3.68</v>
      </c>
      <c r="J362" s="50">
        <v>106</v>
      </c>
      <c r="K362" s="50">
        <v>100</v>
      </c>
      <c r="L362" s="50">
        <v>6.77</v>
      </c>
      <c r="M362" s="50">
        <v>6.47</v>
      </c>
      <c r="N362" s="50">
        <v>48</v>
      </c>
      <c r="O362" s="50">
        <v>10</v>
      </c>
      <c r="P362" s="50">
        <v>11.7</v>
      </c>
      <c r="Q362" s="50">
        <v>61.1</v>
      </c>
      <c r="R362" s="50">
        <v>33.5</v>
      </c>
      <c r="S362" s="50">
        <v>15.9</v>
      </c>
      <c r="T362" s="50">
        <v>47</v>
      </c>
      <c r="U362" s="50">
        <v>10.119999999999999</v>
      </c>
      <c r="V362" s="50">
        <v>50.7</v>
      </c>
      <c r="W362" s="50">
        <v>34</v>
      </c>
      <c r="X362" s="50">
        <v>263</v>
      </c>
      <c r="Y362" s="50">
        <v>11.08</v>
      </c>
      <c r="Z362" s="50">
        <v>19.3</v>
      </c>
      <c r="AA362" s="50">
        <v>6.35</v>
      </c>
      <c r="AB362" s="50"/>
      <c r="AC362" s="50"/>
      <c r="AD362" s="50"/>
      <c r="AE362" s="50"/>
      <c r="AF362" s="50"/>
      <c r="AG362" s="50"/>
      <c r="AH362" s="50"/>
      <c r="AI362" s="50"/>
      <c r="AJ362" s="50"/>
    </row>
    <row r="363" spans="1:36" ht="15" customHeight="1" x14ac:dyDescent="0.25">
      <c r="A363" s="50">
        <v>73</v>
      </c>
      <c r="B363" s="50" t="s">
        <v>924</v>
      </c>
      <c r="C363" s="50" t="s">
        <v>1357</v>
      </c>
      <c r="D363" s="50">
        <v>30</v>
      </c>
      <c r="E363" s="50" t="s">
        <v>1359</v>
      </c>
      <c r="F363" s="50">
        <v>4</v>
      </c>
      <c r="G363" s="50">
        <v>6.3</v>
      </c>
      <c r="H363" s="50">
        <v>24</v>
      </c>
      <c r="I363" s="50">
        <v>3.37</v>
      </c>
      <c r="J363" s="50">
        <v>104</v>
      </c>
      <c r="K363" s="50">
        <v>92</v>
      </c>
      <c r="L363" s="50">
        <v>6.18</v>
      </c>
      <c r="M363" s="50">
        <v>5.85</v>
      </c>
      <c r="N363" s="50">
        <v>46</v>
      </c>
      <c r="O363" s="50">
        <v>9</v>
      </c>
      <c r="P363" s="50">
        <v>10.7</v>
      </c>
      <c r="Q363" s="50">
        <v>57.1</v>
      </c>
      <c r="R363" s="50">
        <v>38.799999999999997</v>
      </c>
      <c r="S363" s="50">
        <v>17.399999999999999</v>
      </c>
      <c r="T363" s="50">
        <v>49</v>
      </c>
      <c r="U363" s="50">
        <v>10.76</v>
      </c>
      <c r="V363" s="50">
        <v>53.3</v>
      </c>
      <c r="W363" s="50">
        <v>39</v>
      </c>
      <c r="X363" s="50">
        <v>282</v>
      </c>
      <c r="Y363" s="50">
        <v>10.74</v>
      </c>
      <c r="Z363" s="50">
        <v>22.1</v>
      </c>
      <c r="AA363" s="50">
        <v>6.66</v>
      </c>
      <c r="AB363" s="50"/>
      <c r="AC363" s="50"/>
      <c r="AD363" s="50"/>
      <c r="AE363" s="50"/>
      <c r="AF363" s="50"/>
      <c r="AG363" s="50"/>
      <c r="AH363" s="50"/>
      <c r="AI363" s="50"/>
      <c r="AJ363" s="50"/>
    </row>
    <row r="364" spans="1:36" ht="15" customHeight="1" x14ac:dyDescent="0.25">
      <c r="A364" s="50">
        <v>73</v>
      </c>
      <c r="B364" s="50" t="s">
        <v>924</v>
      </c>
      <c r="C364" s="50" t="s">
        <v>1357</v>
      </c>
      <c r="D364" s="50">
        <v>30</v>
      </c>
      <c r="E364" s="50" t="s">
        <v>1359</v>
      </c>
      <c r="F364" s="50">
        <v>8</v>
      </c>
      <c r="G364" s="50">
        <v>5.0999999999999996</v>
      </c>
      <c r="H364" s="50">
        <v>20</v>
      </c>
      <c r="I364" s="50">
        <v>3</v>
      </c>
      <c r="J364" s="50">
        <v>110</v>
      </c>
      <c r="K364" s="50">
        <v>84</v>
      </c>
      <c r="L364" s="50">
        <v>5.03</v>
      </c>
      <c r="M364" s="50">
        <v>5.53</v>
      </c>
      <c r="N364" s="50">
        <v>40</v>
      </c>
      <c r="O364" s="50">
        <v>9.1</v>
      </c>
      <c r="P364" s="50">
        <v>10.4</v>
      </c>
      <c r="Q364" s="50">
        <v>49.8</v>
      </c>
      <c r="R364" s="50">
        <v>46.3</v>
      </c>
      <c r="S364" s="50">
        <v>18.399999999999999</v>
      </c>
      <c r="T364" s="50">
        <v>55</v>
      </c>
      <c r="U364" s="50">
        <v>9.5299999999999994</v>
      </c>
      <c r="V364" s="50">
        <v>57.5</v>
      </c>
      <c r="W364" s="50">
        <v>47</v>
      </c>
      <c r="X364" s="50">
        <v>339</v>
      </c>
      <c r="Y364" s="50">
        <v>10.55</v>
      </c>
      <c r="Z364" s="50">
        <v>26.7</v>
      </c>
      <c r="AA364" s="50">
        <v>6.89</v>
      </c>
      <c r="AB364" s="50"/>
      <c r="AC364" s="50"/>
      <c r="AD364" s="50"/>
      <c r="AE364" s="50"/>
      <c r="AF364" s="50"/>
      <c r="AG364" s="50"/>
      <c r="AH364" s="50"/>
      <c r="AI364" s="50"/>
      <c r="AJ364" s="50"/>
    </row>
    <row r="365" spans="1:36" ht="15" customHeight="1" x14ac:dyDescent="0.25">
      <c r="A365" s="50">
        <v>73</v>
      </c>
      <c r="B365" s="50" t="s">
        <v>924</v>
      </c>
      <c r="C365" s="50" t="s">
        <v>1357</v>
      </c>
      <c r="D365" s="50">
        <v>30</v>
      </c>
      <c r="E365" s="50" t="s">
        <v>1359</v>
      </c>
      <c r="F365" s="50">
        <v>12</v>
      </c>
      <c r="G365" s="50">
        <v>4.5999999999999996</v>
      </c>
      <c r="H365" s="50">
        <v>17</v>
      </c>
      <c r="I365" s="50">
        <v>2.76</v>
      </c>
      <c r="J365" s="50">
        <v>115</v>
      </c>
      <c r="K365" s="50">
        <v>76</v>
      </c>
      <c r="L365" s="50">
        <v>4.6100000000000003</v>
      </c>
      <c r="M365" s="50">
        <v>5.4</v>
      </c>
      <c r="N365" s="50">
        <v>38</v>
      </c>
      <c r="O365" s="50">
        <v>9.3000000000000007</v>
      </c>
      <c r="P365" s="50">
        <v>9.8000000000000007</v>
      </c>
      <c r="Q365" s="50">
        <v>42.4</v>
      </c>
      <c r="R365" s="50">
        <v>48.7</v>
      </c>
      <c r="S365" s="50">
        <v>21.4</v>
      </c>
      <c r="T365" s="50">
        <v>58</v>
      </c>
      <c r="U365" s="50">
        <v>7.24</v>
      </c>
      <c r="V365" s="50">
        <v>58.5</v>
      </c>
      <c r="W365" s="50">
        <v>48</v>
      </c>
      <c r="X365" s="50">
        <v>350</v>
      </c>
      <c r="Y365" s="50">
        <v>10.48</v>
      </c>
      <c r="Z365" s="50">
        <v>28.4</v>
      </c>
      <c r="AA365" s="50">
        <v>6.99</v>
      </c>
      <c r="AB365" s="50"/>
      <c r="AC365" s="50"/>
      <c r="AD365" s="50"/>
      <c r="AE365" s="50"/>
      <c r="AF365" s="50"/>
      <c r="AG365" s="50"/>
      <c r="AH365" s="50"/>
      <c r="AI365" s="50"/>
      <c r="AJ365" s="50"/>
    </row>
    <row r="366" spans="1:36" ht="15" customHeight="1" x14ac:dyDescent="0.25">
      <c r="A366" s="50">
        <v>73</v>
      </c>
      <c r="B366" s="50" t="s">
        <v>924</v>
      </c>
      <c r="C366" s="50" t="s">
        <v>1357</v>
      </c>
      <c r="D366" s="50">
        <v>30</v>
      </c>
      <c r="E366" s="50" t="s">
        <v>1359</v>
      </c>
      <c r="F366" s="50">
        <v>21</v>
      </c>
      <c r="G366" s="50">
        <v>2.7</v>
      </c>
      <c r="H366" s="50">
        <v>10</v>
      </c>
      <c r="I366" s="50">
        <v>1.98</v>
      </c>
      <c r="J366" s="50">
        <v>124</v>
      </c>
      <c r="K366" s="50">
        <v>58</v>
      </c>
      <c r="L366" s="50">
        <v>2.86</v>
      </c>
      <c r="M366" s="50">
        <v>3.79</v>
      </c>
      <c r="N366" s="50">
        <v>34</v>
      </c>
      <c r="O366" s="50">
        <v>6.6</v>
      </c>
      <c r="P366" s="50">
        <v>8.1999999999999993</v>
      </c>
      <c r="Q366" s="50">
        <v>31.4</v>
      </c>
      <c r="R366" s="50">
        <v>63</v>
      </c>
      <c r="S366" s="50">
        <v>30.3</v>
      </c>
      <c r="T366" s="50">
        <v>71</v>
      </c>
      <c r="U366" s="50">
        <v>6.55</v>
      </c>
      <c r="V366" s="50">
        <v>63.7</v>
      </c>
      <c r="W366" s="50">
        <v>59</v>
      </c>
      <c r="X366" s="50">
        <v>455</v>
      </c>
      <c r="Y366" s="50">
        <v>9.4</v>
      </c>
      <c r="Z366" s="50">
        <v>34.700000000000003</v>
      </c>
      <c r="AA366" s="50">
        <v>6.89</v>
      </c>
      <c r="AB366" s="50"/>
      <c r="AC366" s="50"/>
      <c r="AD366" s="50"/>
      <c r="AE366" s="50"/>
      <c r="AF366" s="50"/>
      <c r="AG366" s="50"/>
      <c r="AH366" s="50"/>
      <c r="AI366" s="50"/>
      <c r="AJ366" s="50"/>
    </row>
    <row r="367" spans="1:36" ht="15" customHeight="1" x14ac:dyDescent="0.25">
      <c r="A367" s="50">
        <v>74</v>
      </c>
      <c r="B367" s="50" t="s">
        <v>924</v>
      </c>
      <c r="C367" s="50" t="s">
        <v>1352</v>
      </c>
      <c r="D367" s="50">
        <v>39</v>
      </c>
      <c r="E367" s="50" t="s">
        <v>1355</v>
      </c>
      <c r="F367" s="50">
        <v>0</v>
      </c>
      <c r="G367" s="50">
        <v>6.1</v>
      </c>
      <c r="H367" s="50">
        <v>33</v>
      </c>
      <c r="I367" s="50">
        <v>3.84</v>
      </c>
      <c r="J367" s="50">
        <v>75</v>
      </c>
      <c r="K367" s="50">
        <v>100</v>
      </c>
      <c r="L367" s="50">
        <v>7.58</v>
      </c>
      <c r="M367" s="50">
        <v>6.14</v>
      </c>
      <c r="N367" s="50">
        <v>40</v>
      </c>
      <c r="O367" s="50">
        <v>12.4</v>
      </c>
      <c r="P367" s="50">
        <v>8.3000000000000007</v>
      </c>
      <c r="Q367" s="50">
        <v>41.8</v>
      </c>
      <c r="R367" s="50">
        <v>35</v>
      </c>
      <c r="S367" s="50">
        <v>16.2</v>
      </c>
      <c r="T367" s="50">
        <v>35</v>
      </c>
      <c r="U367" s="50">
        <v>5.86</v>
      </c>
      <c r="V367" s="50">
        <v>52.2</v>
      </c>
      <c r="W367" s="50">
        <v>36</v>
      </c>
      <c r="X367" s="50">
        <v>422</v>
      </c>
      <c r="Y367" s="50">
        <v>16.829999999999998</v>
      </c>
      <c r="Z367" s="50">
        <v>27.8</v>
      </c>
      <c r="AA367" s="50">
        <v>4.51</v>
      </c>
      <c r="AB367" s="50"/>
      <c r="AC367" s="50"/>
      <c r="AD367" s="50"/>
      <c r="AE367" s="50"/>
      <c r="AF367" s="50"/>
      <c r="AG367" s="50"/>
      <c r="AH367" s="50"/>
      <c r="AI367" s="50"/>
      <c r="AJ367" s="50"/>
    </row>
    <row r="368" spans="1:36" ht="15" customHeight="1" x14ac:dyDescent="0.25">
      <c r="A368" s="50">
        <v>74</v>
      </c>
      <c r="B368" s="50" t="s">
        <v>924</v>
      </c>
      <c r="C368" s="50" t="s">
        <v>1352</v>
      </c>
      <c r="D368" s="50">
        <v>39</v>
      </c>
      <c r="E368" s="50" t="s">
        <v>1355</v>
      </c>
      <c r="F368" s="50">
        <v>4</v>
      </c>
      <c r="G368" s="50">
        <v>5.4</v>
      </c>
      <c r="H368" s="50">
        <v>32</v>
      </c>
      <c r="I368" s="50">
        <v>3.38</v>
      </c>
      <c r="J368" s="50">
        <v>77</v>
      </c>
      <c r="K368" s="50">
        <v>92</v>
      </c>
      <c r="L368" s="50">
        <v>6.56</v>
      </c>
      <c r="M368" s="50">
        <v>5.74</v>
      </c>
      <c r="N368" s="50">
        <v>39</v>
      </c>
      <c r="O368" s="50">
        <v>11.7</v>
      </c>
      <c r="P368" s="50">
        <v>7.8</v>
      </c>
      <c r="Q368" s="50">
        <v>38.700000000000003</v>
      </c>
      <c r="R368" s="50">
        <v>38.799999999999997</v>
      </c>
      <c r="S368" s="50">
        <v>17.8</v>
      </c>
      <c r="T368" s="50">
        <v>41</v>
      </c>
      <c r="U368" s="50">
        <v>4.97</v>
      </c>
      <c r="V368" s="50">
        <v>54.9</v>
      </c>
      <c r="W368" s="50">
        <v>41</v>
      </c>
      <c r="X368" s="50">
        <v>444</v>
      </c>
      <c r="Y368" s="50">
        <v>16.04</v>
      </c>
      <c r="Z368" s="50">
        <v>30.7</v>
      </c>
      <c r="AA368" s="50">
        <v>4.96</v>
      </c>
      <c r="AB368" s="50"/>
      <c r="AC368" s="50"/>
      <c r="AD368" s="50"/>
      <c r="AE368" s="50"/>
      <c r="AF368" s="50"/>
      <c r="AG368" s="50"/>
      <c r="AH368" s="50"/>
      <c r="AI368" s="50"/>
      <c r="AJ368" s="50"/>
    </row>
    <row r="369" spans="1:36" ht="15" customHeight="1" x14ac:dyDescent="0.25">
      <c r="A369" s="50">
        <v>74</v>
      </c>
      <c r="B369" s="50" t="s">
        <v>924</v>
      </c>
      <c r="C369" s="50" t="s">
        <v>1352</v>
      </c>
      <c r="D369" s="50">
        <v>39</v>
      </c>
      <c r="E369" s="50" t="s">
        <v>1355</v>
      </c>
      <c r="F369" s="50">
        <v>8</v>
      </c>
      <c r="G369" s="50">
        <v>4.5999999999999996</v>
      </c>
      <c r="H369" s="50">
        <v>27</v>
      </c>
      <c r="I369" s="50">
        <v>3.1</v>
      </c>
      <c r="J369" s="50">
        <v>84</v>
      </c>
      <c r="K369" s="50">
        <v>84</v>
      </c>
      <c r="L369" s="50">
        <v>5.63</v>
      </c>
      <c r="M369" s="50">
        <v>5.09</v>
      </c>
      <c r="N369" s="50">
        <v>35</v>
      </c>
      <c r="O369" s="50">
        <v>11.2</v>
      </c>
      <c r="P369" s="50">
        <v>9.1</v>
      </c>
      <c r="Q369" s="50">
        <v>38.1</v>
      </c>
      <c r="R369" s="50">
        <v>46.3</v>
      </c>
      <c r="S369" s="50">
        <v>25.3</v>
      </c>
      <c r="T369" s="50">
        <v>44</v>
      </c>
      <c r="U369" s="50">
        <v>4.93</v>
      </c>
      <c r="V369" s="50">
        <v>56.7</v>
      </c>
      <c r="W369" s="50">
        <v>50</v>
      </c>
      <c r="X369" s="50">
        <v>462</v>
      </c>
      <c r="Y369" s="50">
        <v>15.54</v>
      </c>
      <c r="Z369" s="50">
        <v>35.1</v>
      </c>
      <c r="AA369" s="50">
        <v>5.04</v>
      </c>
      <c r="AB369" s="50"/>
      <c r="AC369" s="50"/>
      <c r="AD369" s="50"/>
      <c r="AE369" s="50"/>
      <c r="AF369" s="50"/>
      <c r="AG369" s="50"/>
      <c r="AH369" s="50"/>
      <c r="AI369" s="50"/>
      <c r="AJ369" s="50"/>
    </row>
    <row r="370" spans="1:36" ht="15" customHeight="1" x14ac:dyDescent="0.25">
      <c r="A370" s="50">
        <v>74</v>
      </c>
      <c r="B370" s="50" t="s">
        <v>924</v>
      </c>
      <c r="C370" s="50" t="s">
        <v>1352</v>
      </c>
      <c r="D370" s="50">
        <v>39</v>
      </c>
      <c r="E370" s="50" t="s">
        <v>1355</v>
      </c>
      <c r="F370" s="50">
        <v>12</v>
      </c>
      <c r="G370" s="50">
        <v>4.3</v>
      </c>
      <c r="H370" s="50">
        <v>22</v>
      </c>
      <c r="I370" s="50">
        <v>2.76</v>
      </c>
      <c r="J370" s="50">
        <v>85</v>
      </c>
      <c r="K370" s="50">
        <v>76</v>
      </c>
      <c r="L370" s="50">
        <v>5.27</v>
      </c>
      <c r="M370" s="50">
        <v>4.3</v>
      </c>
      <c r="N370" s="50">
        <v>34</v>
      </c>
      <c r="O370" s="50">
        <v>11.4</v>
      </c>
      <c r="P370" s="50">
        <v>7.9</v>
      </c>
      <c r="Q370" s="50">
        <v>38.4</v>
      </c>
      <c r="R370" s="50">
        <v>49.4</v>
      </c>
      <c r="S370" s="50">
        <v>23.4</v>
      </c>
      <c r="T370" s="50">
        <v>46</v>
      </c>
      <c r="U370" s="50">
        <v>5.35</v>
      </c>
      <c r="V370" s="50">
        <v>57.9</v>
      </c>
      <c r="W370" s="50">
        <v>51</v>
      </c>
      <c r="X370" s="50">
        <v>471</v>
      </c>
      <c r="Y370" s="50">
        <v>13.97</v>
      </c>
      <c r="Z370" s="50">
        <v>34.1</v>
      </c>
      <c r="AA370" s="50">
        <v>5.7</v>
      </c>
      <c r="AB370" s="50"/>
      <c r="AC370" s="50"/>
      <c r="AD370" s="50"/>
      <c r="AE370" s="50"/>
      <c r="AF370" s="50"/>
      <c r="AG370" s="50"/>
      <c r="AH370" s="50"/>
      <c r="AI370" s="50"/>
      <c r="AJ370" s="50"/>
    </row>
    <row r="371" spans="1:36" ht="15" customHeight="1" x14ac:dyDescent="0.25">
      <c r="A371" s="50">
        <v>74</v>
      </c>
      <c r="B371" s="50" t="s">
        <v>924</v>
      </c>
      <c r="C371" s="50" t="s">
        <v>1352</v>
      </c>
      <c r="D371" s="50">
        <v>39</v>
      </c>
      <c r="E371" s="50" t="s">
        <v>1355</v>
      </c>
      <c r="F371" s="50">
        <v>21</v>
      </c>
      <c r="G371" s="50">
        <v>2.7</v>
      </c>
      <c r="H371" s="50">
        <v>19</v>
      </c>
      <c r="I371" s="50">
        <v>2.04</v>
      </c>
      <c r="J371" s="50">
        <v>99</v>
      </c>
      <c r="K371" s="50">
        <v>58</v>
      </c>
      <c r="L371" s="50">
        <v>3.13</v>
      </c>
      <c r="M371" s="50">
        <v>2.65</v>
      </c>
      <c r="N371" s="50">
        <v>31</v>
      </c>
      <c r="O371" s="50">
        <v>8.5</v>
      </c>
      <c r="P371" s="50">
        <v>6.4</v>
      </c>
      <c r="Q371" s="50">
        <v>28.4</v>
      </c>
      <c r="R371" s="50">
        <v>56</v>
      </c>
      <c r="S371" s="50">
        <v>31.2</v>
      </c>
      <c r="T371" s="50">
        <v>58</v>
      </c>
      <c r="U371" s="50">
        <v>3.52</v>
      </c>
      <c r="V371" s="50">
        <v>62.6</v>
      </c>
      <c r="W371" s="50">
        <v>68</v>
      </c>
      <c r="X371" s="50">
        <v>537</v>
      </c>
      <c r="Y371" s="50">
        <v>12.29</v>
      </c>
      <c r="Z371" s="50">
        <v>39.1</v>
      </c>
      <c r="AA371" s="50">
        <v>6.33</v>
      </c>
      <c r="AB371" s="50"/>
      <c r="AC371" s="50"/>
      <c r="AD371" s="50"/>
      <c r="AE371" s="50"/>
      <c r="AF371" s="50"/>
      <c r="AG371" s="50"/>
      <c r="AH371" s="50"/>
      <c r="AI371" s="50"/>
      <c r="AJ371" s="50"/>
    </row>
    <row r="372" spans="1:36" ht="15" customHeight="1" x14ac:dyDescent="0.25">
      <c r="A372" s="50">
        <v>75</v>
      </c>
      <c r="B372" s="50" t="s">
        <v>924</v>
      </c>
      <c r="C372" s="50" t="s">
        <v>1352</v>
      </c>
      <c r="D372" s="50">
        <v>27</v>
      </c>
      <c r="E372" s="50" t="s">
        <v>1359</v>
      </c>
      <c r="F372" s="50">
        <v>0</v>
      </c>
      <c r="G372" s="50">
        <v>7.1</v>
      </c>
      <c r="H372" s="50">
        <v>47</v>
      </c>
      <c r="I372" s="50">
        <v>3.41</v>
      </c>
      <c r="J372" s="50">
        <v>101</v>
      </c>
      <c r="K372" s="50">
        <v>100</v>
      </c>
      <c r="L372" s="50">
        <v>6.92</v>
      </c>
      <c r="M372" s="50">
        <v>6.34</v>
      </c>
      <c r="N372" s="50">
        <v>38</v>
      </c>
      <c r="O372" s="50">
        <v>14.9</v>
      </c>
      <c r="P372" s="50">
        <v>10</v>
      </c>
      <c r="Q372" s="50">
        <v>41.7</v>
      </c>
      <c r="R372" s="50">
        <v>32.799999999999997</v>
      </c>
      <c r="S372" s="50">
        <v>17.8</v>
      </c>
      <c r="T372" s="50">
        <v>46</v>
      </c>
      <c r="U372" s="50">
        <v>7.87</v>
      </c>
      <c r="V372" s="50">
        <v>50.4</v>
      </c>
      <c r="W372" s="50">
        <v>58</v>
      </c>
      <c r="X372" s="50">
        <v>427</v>
      </c>
      <c r="Y372" s="50">
        <v>15.49</v>
      </c>
      <c r="Z372" s="50">
        <v>32.9</v>
      </c>
      <c r="AA372" s="50">
        <v>4.28</v>
      </c>
      <c r="AB372" s="50"/>
      <c r="AC372" s="50"/>
      <c r="AD372" s="50"/>
      <c r="AE372" s="50"/>
      <c r="AF372" s="50"/>
      <c r="AG372" s="50"/>
      <c r="AH372" s="50"/>
      <c r="AI372" s="50"/>
      <c r="AJ372" s="50"/>
    </row>
    <row r="373" spans="1:36" ht="15" customHeight="1" x14ac:dyDescent="0.25">
      <c r="A373" s="50">
        <v>75</v>
      </c>
      <c r="B373" s="50" t="s">
        <v>924</v>
      </c>
      <c r="C373" s="50" t="s">
        <v>1352</v>
      </c>
      <c r="D373" s="50">
        <v>27</v>
      </c>
      <c r="E373" s="50" t="s">
        <v>1359</v>
      </c>
      <c r="F373" s="50">
        <v>4</v>
      </c>
      <c r="G373" s="50">
        <v>6.5</v>
      </c>
      <c r="H373" s="50">
        <v>43</v>
      </c>
      <c r="I373" s="50">
        <v>3.15</v>
      </c>
      <c r="J373" s="50">
        <v>109</v>
      </c>
      <c r="K373" s="50">
        <v>92</v>
      </c>
      <c r="L373" s="50">
        <v>6.38</v>
      </c>
      <c r="M373" s="50">
        <v>5.83</v>
      </c>
      <c r="N373" s="50">
        <v>36</v>
      </c>
      <c r="O373" s="50">
        <v>13.8</v>
      </c>
      <c r="P373" s="50">
        <v>9.4</v>
      </c>
      <c r="Q373" s="50">
        <v>37.1</v>
      </c>
      <c r="R373" s="50">
        <v>37.4</v>
      </c>
      <c r="S373" s="50">
        <v>20</v>
      </c>
      <c r="T373" s="50">
        <v>49</v>
      </c>
      <c r="U373" s="50">
        <v>8.4600000000000009</v>
      </c>
      <c r="V373" s="50">
        <v>53.3</v>
      </c>
      <c r="W373" s="50">
        <v>61</v>
      </c>
      <c r="X373" s="50">
        <v>423</v>
      </c>
      <c r="Y373" s="50">
        <v>15.31</v>
      </c>
      <c r="Z373" s="50">
        <v>32.6</v>
      </c>
      <c r="AA373" s="50">
        <v>4.37</v>
      </c>
      <c r="AB373" s="50"/>
      <c r="AC373" s="50"/>
      <c r="AD373" s="50"/>
      <c r="AE373" s="50"/>
      <c r="AF373" s="50"/>
      <c r="AG373" s="50"/>
      <c r="AH373" s="50"/>
      <c r="AI373" s="50"/>
      <c r="AJ373" s="50"/>
    </row>
    <row r="374" spans="1:36" ht="15" customHeight="1" x14ac:dyDescent="0.25">
      <c r="A374" s="50">
        <v>75</v>
      </c>
      <c r="B374" s="50" t="s">
        <v>924</v>
      </c>
      <c r="C374" s="50" t="s">
        <v>1352</v>
      </c>
      <c r="D374" s="50">
        <v>27</v>
      </c>
      <c r="E374" s="50" t="s">
        <v>1359</v>
      </c>
      <c r="F374" s="50">
        <v>8</v>
      </c>
      <c r="G374" s="50">
        <v>5.9</v>
      </c>
      <c r="H374" s="50">
        <v>41</v>
      </c>
      <c r="I374" s="50">
        <v>2.83</v>
      </c>
      <c r="J374" s="50">
        <v>112</v>
      </c>
      <c r="K374" s="50">
        <v>84</v>
      </c>
      <c r="L374" s="50">
        <v>5.5</v>
      </c>
      <c r="M374" s="50">
        <v>5.64</v>
      </c>
      <c r="N374" s="50">
        <v>36</v>
      </c>
      <c r="O374" s="50">
        <v>12.4</v>
      </c>
      <c r="P374" s="50">
        <v>9.3000000000000007</v>
      </c>
      <c r="Q374" s="50">
        <v>35.9</v>
      </c>
      <c r="R374" s="50">
        <v>41.5</v>
      </c>
      <c r="S374" s="50">
        <v>21.8</v>
      </c>
      <c r="T374" s="50">
        <v>50</v>
      </c>
      <c r="U374" s="50">
        <v>8.33</v>
      </c>
      <c r="V374" s="50">
        <v>55.5</v>
      </c>
      <c r="W374" s="50">
        <v>63</v>
      </c>
      <c r="X374" s="50">
        <v>446</v>
      </c>
      <c r="Y374" s="50">
        <v>14.66</v>
      </c>
      <c r="Z374" s="50">
        <v>34.1</v>
      </c>
      <c r="AA374" s="50">
        <v>4.92</v>
      </c>
      <c r="AB374" s="50"/>
      <c r="AC374" s="50"/>
      <c r="AD374" s="50"/>
      <c r="AE374" s="50"/>
      <c r="AF374" s="50"/>
      <c r="AG374" s="50"/>
      <c r="AH374" s="50"/>
      <c r="AI374" s="50"/>
      <c r="AJ374" s="50"/>
    </row>
    <row r="375" spans="1:36" ht="15" customHeight="1" x14ac:dyDescent="0.25">
      <c r="A375" s="50">
        <v>75</v>
      </c>
      <c r="B375" s="50" t="s">
        <v>924</v>
      </c>
      <c r="C375" s="50" t="s">
        <v>1352</v>
      </c>
      <c r="D375" s="50">
        <v>27</v>
      </c>
      <c r="E375" s="50" t="s">
        <v>1359</v>
      </c>
      <c r="F375" s="50">
        <v>12</v>
      </c>
      <c r="G375" s="50">
        <v>4.9000000000000004</v>
      </c>
      <c r="H375" s="50">
        <v>36</v>
      </c>
      <c r="I375" s="50">
        <v>2.5499999999999998</v>
      </c>
      <c r="J375" s="50">
        <v>117</v>
      </c>
      <c r="K375" s="50">
        <v>76</v>
      </c>
      <c r="L375" s="50">
        <v>4.7</v>
      </c>
      <c r="M375" s="50">
        <v>4.5599999999999996</v>
      </c>
      <c r="N375" s="50">
        <v>32</v>
      </c>
      <c r="O375" s="50">
        <v>10.9</v>
      </c>
      <c r="P375" s="50">
        <v>8.6999999999999993</v>
      </c>
      <c r="Q375" s="50">
        <v>36.6</v>
      </c>
      <c r="R375" s="50">
        <v>50.8</v>
      </c>
      <c r="S375" s="50">
        <v>26</v>
      </c>
      <c r="T375" s="50">
        <v>54</v>
      </c>
      <c r="U375" s="50">
        <v>6.51</v>
      </c>
      <c r="V375" s="50">
        <v>57.6</v>
      </c>
      <c r="W375" s="50">
        <v>64</v>
      </c>
      <c r="X375" s="50">
        <v>477</v>
      </c>
      <c r="Y375" s="50">
        <v>13.42</v>
      </c>
      <c r="Z375" s="50">
        <v>35.4</v>
      </c>
      <c r="AA375" s="50">
        <v>4.8499999999999996</v>
      </c>
      <c r="AB375" s="50"/>
      <c r="AC375" s="50"/>
      <c r="AD375" s="50"/>
      <c r="AE375" s="50"/>
      <c r="AF375" s="50"/>
      <c r="AG375" s="50"/>
      <c r="AH375" s="50"/>
      <c r="AI375" s="50"/>
      <c r="AJ375" s="50"/>
    </row>
    <row r="376" spans="1:36" ht="15" customHeight="1" x14ac:dyDescent="0.25">
      <c r="A376" s="50">
        <v>75</v>
      </c>
      <c r="B376" s="50" t="s">
        <v>924</v>
      </c>
      <c r="C376" s="50" t="s">
        <v>1352</v>
      </c>
      <c r="D376" s="50">
        <v>27</v>
      </c>
      <c r="E376" s="50" t="s">
        <v>1359</v>
      </c>
      <c r="F376" s="50">
        <v>21</v>
      </c>
      <c r="G376" s="50">
        <v>3.4</v>
      </c>
      <c r="H376" s="50">
        <v>30</v>
      </c>
      <c r="I376" s="50">
        <v>1.77</v>
      </c>
      <c r="J376" s="50">
        <v>132</v>
      </c>
      <c r="K376" s="50">
        <v>58</v>
      </c>
      <c r="L376" s="50">
        <v>3.43</v>
      </c>
      <c r="M376" s="50">
        <v>3.89</v>
      </c>
      <c r="N376" s="50">
        <v>27</v>
      </c>
      <c r="O376" s="50">
        <v>9.3000000000000007</v>
      </c>
      <c r="P376" s="50">
        <v>7</v>
      </c>
      <c r="Q376" s="50">
        <v>28.8</v>
      </c>
      <c r="R376" s="50">
        <v>55.2</v>
      </c>
      <c r="S376" s="50">
        <v>34.200000000000003</v>
      </c>
      <c r="T376" s="50">
        <v>62</v>
      </c>
      <c r="U376" s="50">
        <v>5.23</v>
      </c>
      <c r="V376" s="50">
        <v>62.3</v>
      </c>
      <c r="W376" s="50">
        <v>76</v>
      </c>
      <c r="X376" s="50">
        <v>502</v>
      </c>
      <c r="Y376" s="50">
        <v>11.25</v>
      </c>
      <c r="Z376" s="50">
        <v>37.799999999999997</v>
      </c>
      <c r="AA376" s="50">
        <v>5.66</v>
      </c>
      <c r="AB376" s="50"/>
      <c r="AC376" s="50"/>
      <c r="AD376" s="50"/>
      <c r="AE376" s="50"/>
      <c r="AF376" s="50"/>
      <c r="AG376" s="50"/>
      <c r="AH376" s="50"/>
      <c r="AI376" s="50"/>
      <c r="AJ376" s="50"/>
    </row>
    <row r="377" spans="1:36" ht="15" customHeight="1" x14ac:dyDescent="0.25">
      <c r="A377" s="50">
        <v>76</v>
      </c>
      <c r="B377" s="50" t="s">
        <v>924</v>
      </c>
      <c r="C377" s="50" t="s">
        <v>1352</v>
      </c>
      <c r="D377" s="50">
        <v>47</v>
      </c>
      <c r="E377" s="50" t="s">
        <v>1353</v>
      </c>
      <c r="F377" s="50">
        <v>0</v>
      </c>
      <c r="G377" s="50">
        <v>5.8</v>
      </c>
      <c r="H377" s="50">
        <v>71</v>
      </c>
      <c r="I377" s="50">
        <v>4.0599999999999996</v>
      </c>
      <c r="J377" s="50">
        <v>102</v>
      </c>
      <c r="K377" s="50">
        <v>100</v>
      </c>
      <c r="L377" s="50">
        <v>7.24</v>
      </c>
      <c r="M377" s="50">
        <v>6.98</v>
      </c>
      <c r="N377" s="50">
        <v>44</v>
      </c>
      <c r="O377" s="50">
        <v>14.5</v>
      </c>
      <c r="P377" s="50">
        <v>14.3</v>
      </c>
      <c r="Q377" s="50">
        <v>61.7</v>
      </c>
      <c r="R377" s="50">
        <v>18.100000000000001</v>
      </c>
      <c r="S377" s="50">
        <v>24</v>
      </c>
      <c r="T377" s="50">
        <v>36</v>
      </c>
      <c r="U377" s="50">
        <v>0.91</v>
      </c>
      <c r="V377" s="50">
        <v>57.8</v>
      </c>
      <c r="W377" s="50">
        <v>45</v>
      </c>
      <c r="X377" s="50">
        <v>380</v>
      </c>
      <c r="Y377" s="50">
        <v>13.05</v>
      </c>
      <c r="Z377" s="50">
        <v>26.2</v>
      </c>
      <c r="AA377" s="50">
        <v>5.39</v>
      </c>
      <c r="AB377" s="50"/>
      <c r="AC377" s="50"/>
      <c r="AD377" s="50"/>
      <c r="AE377" s="50"/>
      <c r="AF377" s="50"/>
      <c r="AG377" s="50"/>
      <c r="AH377" s="50"/>
      <c r="AI377" s="50"/>
      <c r="AJ377" s="50"/>
    </row>
    <row r="378" spans="1:36" ht="15" customHeight="1" x14ac:dyDescent="0.25">
      <c r="A378" s="50">
        <v>76</v>
      </c>
      <c r="B378" s="50" t="s">
        <v>924</v>
      </c>
      <c r="C378" s="50" t="s">
        <v>1352</v>
      </c>
      <c r="D378" s="50">
        <v>47</v>
      </c>
      <c r="E378" s="50" t="s">
        <v>1353</v>
      </c>
      <c r="F378" s="50">
        <v>4</v>
      </c>
      <c r="G378" s="50">
        <v>5.3</v>
      </c>
      <c r="H378" s="50">
        <v>68</v>
      </c>
      <c r="I378" s="50">
        <v>3.67</v>
      </c>
      <c r="J378" s="50">
        <v>105</v>
      </c>
      <c r="K378" s="50">
        <v>92</v>
      </c>
      <c r="L378" s="50">
        <v>6.6</v>
      </c>
      <c r="M378" s="50">
        <v>6.35</v>
      </c>
      <c r="N378" s="50">
        <v>43</v>
      </c>
      <c r="O378" s="50">
        <v>13.7</v>
      </c>
      <c r="P378" s="50">
        <v>12.9</v>
      </c>
      <c r="Q378" s="50">
        <v>56.1</v>
      </c>
      <c r="R378" s="50">
        <v>23.6</v>
      </c>
      <c r="S378" s="50">
        <v>26</v>
      </c>
      <c r="T378" s="50">
        <v>36</v>
      </c>
      <c r="U378" s="50">
        <v>0.91</v>
      </c>
      <c r="V378" s="50">
        <v>58.8</v>
      </c>
      <c r="W378" s="50">
        <v>51</v>
      </c>
      <c r="X378" s="50">
        <v>399</v>
      </c>
      <c r="Y378" s="50">
        <v>13.16</v>
      </c>
      <c r="Z378" s="50">
        <v>28.7</v>
      </c>
      <c r="AA378" s="50">
        <v>5.12</v>
      </c>
      <c r="AB378" s="50"/>
      <c r="AC378" s="50"/>
      <c r="AD378" s="50"/>
      <c r="AE378" s="50"/>
      <c r="AF378" s="50"/>
      <c r="AG378" s="50"/>
      <c r="AH378" s="50"/>
      <c r="AI378" s="50"/>
      <c r="AJ378" s="50"/>
    </row>
    <row r="379" spans="1:36" ht="15" customHeight="1" x14ac:dyDescent="0.25">
      <c r="A379" s="50">
        <v>76</v>
      </c>
      <c r="B379" s="50" t="s">
        <v>924</v>
      </c>
      <c r="C379" s="50" t="s">
        <v>1352</v>
      </c>
      <c r="D379" s="50">
        <v>47</v>
      </c>
      <c r="E379" s="50" t="s">
        <v>1353</v>
      </c>
      <c r="F379" s="50">
        <v>8</v>
      </c>
      <c r="G379" s="50">
        <v>4.5999999999999996</v>
      </c>
      <c r="H379" s="50">
        <v>66</v>
      </c>
      <c r="I379" s="50">
        <v>3.35</v>
      </c>
      <c r="J379" s="50">
        <v>104</v>
      </c>
      <c r="K379" s="50">
        <v>84</v>
      </c>
      <c r="L379" s="50">
        <v>5.67</v>
      </c>
      <c r="M379" s="50">
        <v>5.1100000000000003</v>
      </c>
      <c r="N379" s="50">
        <v>39</v>
      </c>
      <c r="O379" s="50">
        <v>11.9</v>
      </c>
      <c r="P379" s="50">
        <v>11.8</v>
      </c>
      <c r="Q379" s="50">
        <v>45.3</v>
      </c>
      <c r="R379" s="50">
        <v>29.8</v>
      </c>
      <c r="S379" s="50">
        <v>30.9</v>
      </c>
      <c r="T379" s="50">
        <v>43</v>
      </c>
      <c r="U379" s="50">
        <v>0.91</v>
      </c>
      <c r="V379" s="50">
        <v>62.9</v>
      </c>
      <c r="W379" s="50">
        <v>51</v>
      </c>
      <c r="X379" s="50">
        <v>405</v>
      </c>
      <c r="Y379" s="50">
        <v>12.18</v>
      </c>
      <c r="Z379" s="50">
        <v>31</v>
      </c>
      <c r="AA379" s="50">
        <v>5.4</v>
      </c>
      <c r="AB379" s="50"/>
      <c r="AC379" s="50"/>
      <c r="AD379" s="50"/>
      <c r="AE379" s="50"/>
      <c r="AF379" s="50"/>
      <c r="AG379" s="50"/>
      <c r="AH379" s="50"/>
      <c r="AI379" s="50"/>
      <c r="AJ379" s="50"/>
    </row>
    <row r="380" spans="1:36" ht="15" customHeight="1" x14ac:dyDescent="0.25">
      <c r="A380" s="50">
        <v>76</v>
      </c>
      <c r="B380" s="50" t="s">
        <v>924</v>
      </c>
      <c r="C380" s="50" t="s">
        <v>1352</v>
      </c>
      <c r="D380" s="50">
        <v>47</v>
      </c>
      <c r="E380" s="50" t="s">
        <v>1353</v>
      </c>
      <c r="F380" s="50">
        <v>12</v>
      </c>
      <c r="G380" s="50">
        <v>4.0999999999999996</v>
      </c>
      <c r="H380" s="50">
        <v>61</v>
      </c>
      <c r="I380" s="50">
        <v>2.97</v>
      </c>
      <c r="J380" s="50">
        <v>113</v>
      </c>
      <c r="K380" s="50">
        <v>76</v>
      </c>
      <c r="L380" s="50">
        <v>4.93</v>
      </c>
      <c r="M380" s="50">
        <v>4.97</v>
      </c>
      <c r="N380" s="50">
        <v>35</v>
      </c>
      <c r="O380" s="50">
        <v>10.9</v>
      </c>
      <c r="P380" s="50">
        <v>12</v>
      </c>
      <c r="Q380" s="50">
        <v>42.3</v>
      </c>
      <c r="R380" s="50">
        <v>37.4</v>
      </c>
      <c r="S380" s="50">
        <v>30.7</v>
      </c>
      <c r="T380" s="50">
        <v>48</v>
      </c>
      <c r="U380" s="50">
        <v>0.91</v>
      </c>
      <c r="V380" s="50">
        <v>61.2</v>
      </c>
      <c r="W380" s="50">
        <v>56</v>
      </c>
      <c r="X380" s="50">
        <v>429</v>
      </c>
      <c r="Y380" s="50">
        <v>11.05</v>
      </c>
      <c r="Z380" s="50">
        <v>32.799999999999997</v>
      </c>
      <c r="AA380" s="50">
        <v>5.64</v>
      </c>
      <c r="AB380" s="50"/>
      <c r="AC380" s="50"/>
      <c r="AD380" s="50"/>
      <c r="AE380" s="50"/>
      <c r="AF380" s="50"/>
      <c r="AG380" s="50"/>
      <c r="AH380" s="50"/>
      <c r="AI380" s="50"/>
      <c r="AJ380" s="50"/>
    </row>
    <row r="381" spans="1:36" ht="15" customHeight="1" x14ac:dyDescent="0.25">
      <c r="A381" s="50">
        <v>76</v>
      </c>
      <c r="B381" s="50" t="s">
        <v>924</v>
      </c>
      <c r="C381" s="50" t="s">
        <v>1352</v>
      </c>
      <c r="D381" s="50">
        <v>47</v>
      </c>
      <c r="E381" s="50" t="s">
        <v>1353</v>
      </c>
      <c r="F381" s="50">
        <v>21</v>
      </c>
      <c r="G381" s="50">
        <v>2.8</v>
      </c>
      <c r="H381" s="50">
        <v>55</v>
      </c>
      <c r="I381" s="50">
        <v>2.14</v>
      </c>
      <c r="J381" s="50">
        <v>125</v>
      </c>
      <c r="K381" s="50">
        <v>58</v>
      </c>
      <c r="L381" s="50">
        <v>3.31</v>
      </c>
      <c r="M381" s="50">
        <v>3.08</v>
      </c>
      <c r="N381" s="50">
        <v>28</v>
      </c>
      <c r="O381" s="50">
        <v>8</v>
      </c>
      <c r="P381" s="50">
        <v>11</v>
      </c>
      <c r="Q381" s="50">
        <v>29.1</v>
      </c>
      <c r="R381" s="50">
        <v>53.5</v>
      </c>
      <c r="S381" s="50">
        <v>33.1</v>
      </c>
      <c r="T381" s="50">
        <v>60</v>
      </c>
      <c r="U381" s="50">
        <v>0.91</v>
      </c>
      <c r="V381" s="50">
        <v>62.8</v>
      </c>
      <c r="W381" s="50">
        <v>66</v>
      </c>
      <c r="X381" s="50">
        <v>492</v>
      </c>
      <c r="Y381" s="50">
        <v>10.31</v>
      </c>
      <c r="Z381" s="50">
        <v>38.200000000000003</v>
      </c>
      <c r="AA381" s="50">
        <v>6.13</v>
      </c>
      <c r="AB381" s="50"/>
      <c r="AC381" s="50"/>
      <c r="AD381" s="50"/>
      <c r="AE381" s="50"/>
      <c r="AF381" s="50"/>
      <c r="AG381" s="50"/>
      <c r="AH381" s="50"/>
      <c r="AI381" s="50"/>
      <c r="AJ381" s="50"/>
    </row>
    <row r="382" spans="1:36" ht="15" customHeight="1" x14ac:dyDescent="0.25">
      <c r="A382" s="50">
        <v>77</v>
      </c>
      <c r="B382" s="50" t="s">
        <v>924</v>
      </c>
      <c r="C382" s="50" t="s">
        <v>1352</v>
      </c>
      <c r="D382" s="50">
        <v>49</v>
      </c>
      <c r="E382" s="50" t="s">
        <v>1360</v>
      </c>
      <c r="F382" s="50">
        <v>0</v>
      </c>
      <c r="G382" s="50">
        <v>6.5</v>
      </c>
      <c r="H382" s="50">
        <v>47</v>
      </c>
      <c r="I382" s="50">
        <v>4.37</v>
      </c>
      <c r="J382" s="50">
        <v>98</v>
      </c>
      <c r="K382" s="50">
        <v>100</v>
      </c>
      <c r="L382" s="50">
        <v>7.39</v>
      </c>
      <c r="M382" s="50">
        <v>5.83</v>
      </c>
      <c r="N382" s="50">
        <v>37</v>
      </c>
      <c r="O382" s="50">
        <v>13.9</v>
      </c>
      <c r="P382" s="50">
        <v>10.6</v>
      </c>
      <c r="Q382" s="50">
        <v>36.200000000000003</v>
      </c>
      <c r="R382" s="50">
        <v>44</v>
      </c>
      <c r="S382" s="50">
        <v>12.8</v>
      </c>
      <c r="T382" s="50">
        <v>47</v>
      </c>
      <c r="U382" s="50">
        <v>6.38</v>
      </c>
      <c r="V382" s="50">
        <v>54</v>
      </c>
      <c r="W382" s="50">
        <v>48</v>
      </c>
      <c r="X382" s="50">
        <v>371</v>
      </c>
      <c r="Y382" s="50">
        <v>14.31</v>
      </c>
      <c r="Z382" s="50">
        <v>31.5</v>
      </c>
      <c r="AA382" s="50">
        <v>5.39</v>
      </c>
      <c r="AB382" s="50"/>
      <c r="AC382" s="50"/>
      <c r="AD382" s="50"/>
      <c r="AE382" s="50"/>
      <c r="AF382" s="50"/>
      <c r="AG382" s="50"/>
      <c r="AH382" s="50"/>
      <c r="AI382" s="50"/>
      <c r="AJ382" s="50"/>
    </row>
    <row r="383" spans="1:36" ht="15" customHeight="1" x14ac:dyDescent="0.25">
      <c r="A383" s="50">
        <v>77</v>
      </c>
      <c r="B383" s="50" t="s">
        <v>924</v>
      </c>
      <c r="C383" s="50" t="s">
        <v>1352</v>
      </c>
      <c r="D383" s="50">
        <v>49</v>
      </c>
      <c r="E383" s="50" t="s">
        <v>1360</v>
      </c>
      <c r="F383" s="50">
        <v>4</v>
      </c>
      <c r="G383" s="50">
        <v>6</v>
      </c>
      <c r="H383" s="50">
        <v>45</v>
      </c>
      <c r="I383" s="50">
        <v>4.01</v>
      </c>
      <c r="J383" s="50">
        <v>101</v>
      </c>
      <c r="K383" s="50">
        <v>92</v>
      </c>
      <c r="L383" s="50">
        <v>6.68</v>
      </c>
      <c r="M383" s="50">
        <v>5.0599999999999996</v>
      </c>
      <c r="N383" s="50">
        <v>35</v>
      </c>
      <c r="O383" s="50">
        <v>12.1</v>
      </c>
      <c r="P383" s="50">
        <v>10</v>
      </c>
      <c r="Q383" s="50">
        <v>34.200000000000003</v>
      </c>
      <c r="R383" s="50">
        <v>49.6</v>
      </c>
      <c r="S383" s="50">
        <v>14.5</v>
      </c>
      <c r="T383" s="50">
        <v>48</v>
      </c>
      <c r="U383" s="50">
        <v>5.73</v>
      </c>
      <c r="V383" s="50">
        <v>55.6</v>
      </c>
      <c r="W383" s="50">
        <v>47</v>
      </c>
      <c r="X383" s="50">
        <v>397</v>
      </c>
      <c r="Y383" s="50">
        <v>13.58</v>
      </c>
      <c r="Z383" s="50">
        <v>33.5</v>
      </c>
      <c r="AA383" s="50">
        <v>5.72</v>
      </c>
      <c r="AB383" s="50"/>
      <c r="AC383" s="50"/>
      <c r="AD383" s="50"/>
      <c r="AE383" s="50"/>
      <c r="AF383" s="50"/>
      <c r="AG383" s="50"/>
      <c r="AH383" s="50"/>
      <c r="AI383" s="50"/>
      <c r="AJ383" s="50"/>
    </row>
    <row r="384" spans="1:36" ht="15" customHeight="1" x14ac:dyDescent="0.25">
      <c r="A384" s="50">
        <v>77</v>
      </c>
      <c r="B384" s="50" t="s">
        <v>924</v>
      </c>
      <c r="C384" s="50" t="s">
        <v>1352</v>
      </c>
      <c r="D384" s="50">
        <v>49</v>
      </c>
      <c r="E384" s="50" t="s">
        <v>1360</v>
      </c>
      <c r="F384" s="50">
        <v>8</v>
      </c>
      <c r="G384" s="50">
        <v>5.0999999999999996</v>
      </c>
      <c r="H384" s="50">
        <v>41</v>
      </c>
      <c r="I384" s="50">
        <v>3.64</v>
      </c>
      <c r="J384" s="50">
        <v>107</v>
      </c>
      <c r="K384" s="50">
        <v>84</v>
      </c>
      <c r="L384" s="50">
        <v>5.76</v>
      </c>
      <c r="M384" s="50">
        <v>4.29</v>
      </c>
      <c r="N384" s="50">
        <v>33</v>
      </c>
      <c r="O384" s="50">
        <v>10.6</v>
      </c>
      <c r="P384" s="50">
        <v>9.4</v>
      </c>
      <c r="Q384" s="50">
        <v>34.299999999999997</v>
      </c>
      <c r="R384" s="50">
        <v>54.3</v>
      </c>
      <c r="S384" s="50">
        <v>17.7</v>
      </c>
      <c r="T384" s="50">
        <v>50</v>
      </c>
      <c r="U384" s="50">
        <v>4.21</v>
      </c>
      <c r="V384" s="50">
        <v>57.8</v>
      </c>
      <c r="W384" s="50">
        <v>51</v>
      </c>
      <c r="X384" s="50">
        <v>432</v>
      </c>
      <c r="Y384" s="50">
        <v>12.56</v>
      </c>
      <c r="Z384" s="50">
        <v>35.299999999999997</v>
      </c>
      <c r="AA384" s="50">
        <v>5.77</v>
      </c>
      <c r="AB384" s="50"/>
      <c r="AC384" s="50"/>
      <c r="AD384" s="50"/>
      <c r="AE384" s="50"/>
      <c r="AF384" s="50"/>
      <c r="AG384" s="50"/>
      <c r="AH384" s="50"/>
      <c r="AI384" s="50"/>
      <c r="AJ384" s="50"/>
    </row>
    <row r="385" spans="1:36" ht="15" customHeight="1" x14ac:dyDescent="0.25">
      <c r="A385" s="50">
        <v>77</v>
      </c>
      <c r="B385" s="50" t="s">
        <v>924</v>
      </c>
      <c r="C385" s="50" t="s">
        <v>1352</v>
      </c>
      <c r="D385" s="50">
        <v>49</v>
      </c>
      <c r="E385" s="50" t="s">
        <v>1360</v>
      </c>
      <c r="F385" s="50">
        <v>12</v>
      </c>
      <c r="G385" s="50">
        <v>4.2</v>
      </c>
      <c r="H385" s="50">
        <v>39</v>
      </c>
      <c r="I385" s="50">
        <v>3.31</v>
      </c>
      <c r="J385" s="50">
        <v>109</v>
      </c>
      <c r="K385" s="50">
        <v>76</v>
      </c>
      <c r="L385" s="50">
        <v>4.46</v>
      </c>
      <c r="M385" s="50">
        <v>4.07</v>
      </c>
      <c r="N385" s="50">
        <v>33</v>
      </c>
      <c r="O385" s="50">
        <v>11.2</v>
      </c>
      <c r="P385" s="50">
        <v>10.5</v>
      </c>
      <c r="Q385" s="50">
        <v>26.8</v>
      </c>
      <c r="R385" s="50">
        <v>51.1</v>
      </c>
      <c r="S385" s="50">
        <v>25.7</v>
      </c>
      <c r="T385" s="50">
        <v>61</v>
      </c>
      <c r="U385" s="50">
        <v>4.42</v>
      </c>
      <c r="V385" s="50">
        <v>62</v>
      </c>
      <c r="W385" s="50">
        <v>61</v>
      </c>
      <c r="X385" s="50">
        <v>458</v>
      </c>
      <c r="Y385" s="50">
        <v>12.13</v>
      </c>
      <c r="Z385" s="50">
        <v>37.4</v>
      </c>
      <c r="AA385" s="50">
        <v>5.85</v>
      </c>
      <c r="AB385" s="50"/>
      <c r="AC385" s="50"/>
      <c r="AD385" s="50"/>
      <c r="AE385" s="50"/>
      <c r="AF385" s="50"/>
      <c r="AG385" s="50"/>
      <c r="AH385" s="50"/>
      <c r="AI385" s="50"/>
      <c r="AJ385" s="50"/>
    </row>
    <row r="386" spans="1:36" ht="15" customHeight="1" x14ac:dyDescent="0.25">
      <c r="A386" s="50">
        <v>77</v>
      </c>
      <c r="B386" s="50" t="s">
        <v>924</v>
      </c>
      <c r="C386" s="50" t="s">
        <v>1352</v>
      </c>
      <c r="D386" s="50">
        <v>49</v>
      </c>
      <c r="E386" s="50" t="s">
        <v>1360</v>
      </c>
      <c r="F386" s="50">
        <v>21</v>
      </c>
      <c r="G386" s="50">
        <v>3</v>
      </c>
      <c r="H386" s="50">
        <v>31</v>
      </c>
      <c r="I386" s="50">
        <v>2.39</v>
      </c>
      <c r="J386" s="50">
        <v>118</v>
      </c>
      <c r="K386" s="50">
        <v>58</v>
      </c>
      <c r="L386" s="50">
        <v>3.4</v>
      </c>
      <c r="M386" s="50">
        <v>2.96</v>
      </c>
      <c r="N386" s="50">
        <v>27</v>
      </c>
      <c r="O386" s="50">
        <v>9.6999999999999993</v>
      </c>
      <c r="P386" s="50">
        <v>8.9</v>
      </c>
      <c r="Q386" s="50">
        <v>20.9</v>
      </c>
      <c r="R386" s="50">
        <v>64.599999999999994</v>
      </c>
      <c r="S386" s="50">
        <v>33</v>
      </c>
      <c r="T386" s="50">
        <v>68</v>
      </c>
      <c r="U386" s="50">
        <v>5.14</v>
      </c>
      <c r="V386" s="50">
        <v>64.400000000000006</v>
      </c>
      <c r="W386" s="50">
        <v>66</v>
      </c>
      <c r="X386" s="50">
        <v>462</v>
      </c>
      <c r="Y386" s="50">
        <v>10.46</v>
      </c>
      <c r="Z386" s="50">
        <v>40.700000000000003</v>
      </c>
      <c r="AA386" s="50">
        <v>6.21</v>
      </c>
      <c r="AB386" s="50"/>
      <c r="AC386" s="50"/>
      <c r="AD386" s="50"/>
      <c r="AE386" s="50"/>
      <c r="AF386" s="50"/>
      <c r="AG386" s="50"/>
      <c r="AH386" s="50"/>
      <c r="AI386" s="50"/>
      <c r="AJ386" s="50"/>
    </row>
    <row r="387" spans="1:36" ht="15" customHeight="1" x14ac:dyDescent="0.25">
      <c r="A387" s="50">
        <v>78</v>
      </c>
      <c r="B387" s="50" t="s">
        <v>924</v>
      </c>
      <c r="C387" s="50" t="s">
        <v>1357</v>
      </c>
      <c r="D387" s="50">
        <v>38</v>
      </c>
      <c r="E387" s="50" t="s">
        <v>1360</v>
      </c>
      <c r="F387" s="50">
        <v>0</v>
      </c>
      <c r="G387" s="50">
        <v>6.4</v>
      </c>
      <c r="H387" s="50">
        <v>41</v>
      </c>
      <c r="I387" s="50">
        <v>3.93</v>
      </c>
      <c r="J387" s="50">
        <v>91</v>
      </c>
      <c r="K387" s="50">
        <v>100</v>
      </c>
      <c r="L387" s="50">
        <v>7.36</v>
      </c>
      <c r="M387" s="50">
        <v>6.35</v>
      </c>
      <c r="N387" s="50">
        <v>41</v>
      </c>
      <c r="O387" s="50">
        <v>11.4</v>
      </c>
      <c r="P387" s="50">
        <v>13.3</v>
      </c>
      <c r="Q387" s="50">
        <v>63.6</v>
      </c>
      <c r="R387" s="50">
        <v>37.9</v>
      </c>
      <c r="S387" s="50">
        <v>17.5</v>
      </c>
      <c r="T387" s="50">
        <v>43</v>
      </c>
      <c r="U387" s="50">
        <v>11.63</v>
      </c>
      <c r="V387" s="50">
        <v>59</v>
      </c>
      <c r="W387" s="50">
        <v>58</v>
      </c>
      <c r="X387" s="50">
        <v>360</v>
      </c>
      <c r="Y387" s="50">
        <v>16.239999999999998</v>
      </c>
      <c r="Z387" s="50">
        <v>33.4</v>
      </c>
      <c r="AA387" s="50">
        <v>4.3099999999999996</v>
      </c>
      <c r="AB387" s="50"/>
      <c r="AC387" s="50"/>
      <c r="AD387" s="50"/>
      <c r="AE387" s="50"/>
      <c r="AF387" s="50"/>
      <c r="AG387" s="50"/>
      <c r="AH387" s="50"/>
      <c r="AI387" s="50"/>
      <c r="AJ387" s="50"/>
    </row>
    <row r="388" spans="1:36" ht="15" customHeight="1" x14ac:dyDescent="0.25">
      <c r="A388" s="50">
        <v>78</v>
      </c>
      <c r="B388" s="50" t="s">
        <v>924</v>
      </c>
      <c r="C388" s="50" t="s">
        <v>1357</v>
      </c>
      <c r="D388" s="50">
        <v>38</v>
      </c>
      <c r="E388" s="50" t="s">
        <v>1360</v>
      </c>
      <c r="F388" s="50">
        <v>4</v>
      </c>
      <c r="G388" s="50">
        <v>5.5</v>
      </c>
      <c r="H388" s="50">
        <v>37</v>
      </c>
      <c r="I388" s="50">
        <v>3.6</v>
      </c>
      <c r="J388" s="50">
        <v>94</v>
      </c>
      <c r="K388" s="50">
        <v>92</v>
      </c>
      <c r="L388" s="50">
        <v>6.27</v>
      </c>
      <c r="M388" s="50">
        <v>5.54</v>
      </c>
      <c r="N388" s="50">
        <v>36</v>
      </c>
      <c r="O388" s="50">
        <v>10.6</v>
      </c>
      <c r="P388" s="50">
        <v>12.3</v>
      </c>
      <c r="Q388" s="50">
        <v>56.3</v>
      </c>
      <c r="R388" s="50">
        <v>44.6</v>
      </c>
      <c r="S388" s="50">
        <v>20.3</v>
      </c>
      <c r="T388" s="50">
        <v>48</v>
      </c>
      <c r="U388" s="50">
        <v>10.55</v>
      </c>
      <c r="V388" s="50">
        <v>61.5</v>
      </c>
      <c r="W388" s="50">
        <v>64</v>
      </c>
      <c r="X388" s="50">
        <v>403</v>
      </c>
      <c r="Y388" s="50">
        <v>14.72</v>
      </c>
      <c r="Z388" s="50">
        <v>34.200000000000003</v>
      </c>
      <c r="AA388" s="50">
        <v>4.76</v>
      </c>
      <c r="AB388" s="50"/>
      <c r="AC388" s="50"/>
      <c r="AD388" s="50"/>
      <c r="AE388" s="50"/>
      <c r="AF388" s="50"/>
      <c r="AG388" s="50"/>
      <c r="AH388" s="50"/>
      <c r="AI388" s="50"/>
      <c r="AJ388" s="50"/>
    </row>
    <row r="389" spans="1:36" ht="15" customHeight="1" x14ac:dyDescent="0.25">
      <c r="A389" s="50">
        <v>78</v>
      </c>
      <c r="B389" s="50" t="s">
        <v>924</v>
      </c>
      <c r="C389" s="50" t="s">
        <v>1357</v>
      </c>
      <c r="D389" s="50">
        <v>38</v>
      </c>
      <c r="E389" s="50" t="s">
        <v>1360</v>
      </c>
      <c r="F389" s="50">
        <v>8</v>
      </c>
      <c r="G389" s="50">
        <v>4.8</v>
      </c>
      <c r="H389" s="50">
        <v>35</v>
      </c>
      <c r="I389" s="50">
        <v>3.21</v>
      </c>
      <c r="J389" s="50">
        <v>99</v>
      </c>
      <c r="K389" s="50">
        <v>84</v>
      </c>
      <c r="L389" s="50">
        <v>5.54</v>
      </c>
      <c r="M389" s="50">
        <v>4.49</v>
      </c>
      <c r="N389" s="50">
        <v>35</v>
      </c>
      <c r="O389" s="50">
        <v>10.1</v>
      </c>
      <c r="P389" s="50">
        <v>10.8</v>
      </c>
      <c r="Q389" s="50">
        <v>51.3</v>
      </c>
      <c r="R389" s="50">
        <v>46.9</v>
      </c>
      <c r="S389" s="50">
        <v>27.6</v>
      </c>
      <c r="T389" s="50">
        <v>51</v>
      </c>
      <c r="U389" s="50">
        <v>11.27</v>
      </c>
      <c r="V389" s="50">
        <v>64.599999999999994</v>
      </c>
      <c r="W389" s="50">
        <v>66</v>
      </c>
      <c r="X389" s="50">
        <v>420</v>
      </c>
      <c r="Y389" s="50">
        <v>12.95</v>
      </c>
      <c r="Z389" s="50">
        <v>37.700000000000003</v>
      </c>
      <c r="AA389" s="50">
        <v>5.53</v>
      </c>
      <c r="AB389" s="50"/>
      <c r="AC389" s="50"/>
      <c r="AD389" s="50"/>
      <c r="AE389" s="50"/>
      <c r="AF389" s="50"/>
      <c r="AG389" s="50"/>
      <c r="AH389" s="50"/>
      <c r="AI389" s="50"/>
      <c r="AJ389" s="50"/>
    </row>
    <row r="390" spans="1:36" ht="15" customHeight="1" x14ac:dyDescent="0.25">
      <c r="A390" s="50">
        <v>78</v>
      </c>
      <c r="B390" s="50" t="s">
        <v>924</v>
      </c>
      <c r="C390" s="50" t="s">
        <v>1357</v>
      </c>
      <c r="D390" s="50">
        <v>38</v>
      </c>
      <c r="E390" s="50" t="s">
        <v>1360</v>
      </c>
      <c r="F390" s="50">
        <v>12</v>
      </c>
      <c r="G390" s="50">
        <v>4.4000000000000004</v>
      </c>
      <c r="H390" s="50">
        <v>31</v>
      </c>
      <c r="I390" s="50">
        <v>3.01</v>
      </c>
      <c r="J390" s="50">
        <v>101</v>
      </c>
      <c r="K390" s="50">
        <v>76</v>
      </c>
      <c r="L390" s="50">
        <v>5.01</v>
      </c>
      <c r="M390" s="50">
        <v>4.3600000000000003</v>
      </c>
      <c r="N390" s="50">
        <v>32</v>
      </c>
      <c r="O390" s="50">
        <v>9.6999999999999993</v>
      </c>
      <c r="P390" s="50">
        <v>11.1</v>
      </c>
      <c r="Q390" s="50">
        <v>48.6</v>
      </c>
      <c r="R390" s="50">
        <v>48.9</v>
      </c>
      <c r="S390" s="50">
        <v>27.4</v>
      </c>
      <c r="T390" s="50">
        <v>51</v>
      </c>
      <c r="U390" s="50">
        <v>10.79</v>
      </c>
      <c r="V390" s="50">
        <v>66.3</v>
      </c>
      <c r="W390" s="50">
        <v>66</v>
      </c>
      <c r="X390" s="50">
        <v>443</v>
      </c>
      <c r="Y390" s="50">
        <v>13.22</v>
      </c>
      <c r="Z390" s="50">
        <v>37</v>
      </c>
      <c r="AA390" s="50">
        <v>5.48</v>
      </c>
      <c r="AB390" s="50"/>
      <c r="AC390" s="50"/>
      <c r="AD390" s="50"/>
      <c r="AE390" s="50"/>
      <c r="AF390" s="50"/>
      <c r="AG390" s="50"/>
      <c r="AH390" s="50"/>
      <c r="AI390" s="50"/>
      <c r="AJ390" s="50"/>
    </row>
    <row r="391" spans="1:36" ht="15" customHeight="1" x14ac:dyDescent="0.25">
      <c r="A391" s="50">
        <v>78</v>
      </c>
      <c r="B391" s="50" t="s">
        <v>924</v>
      </c>
      <c r="C391" s="50" t="s">
        <v>1357</v>
      </c>
      <c r="D391" s="50">
        <v>38</v>
      </c>
      <c r="E391" s="50" t="s">
        <v>1360</v>
      </c>
      <c r="F391" s="50">
        <v>21</v>
      </c>
      <c r="G391" s="50">
        <v>2.8</v>
      </c>
      <c r="H391" s="50">
        <v>23</v>
      </c>
      <c r="I391" s="50">
        <v>2.0699999999999998</v>
      </c>
      <c r="J391" s="50">
        <v>115</v>
      </c>
      <c r="K391" s="50">
        <v>58</v>
      </c>
      <c r="L391" s="50">
        <v>3.21</v>
      </c>
      <c r="M391" s="50">
        <v>2.67</v>
      </c>
      <c r="N391" s="50">
        <v>28</v>
      </c>
      <c r="O391" s="50">
        <v>9.3000000000000007</v>
      </c>
      <c r="P391" s="50">
        <v>9.1</v>
      </c>
      <c r="Q391" s="50">
        <v>27.5</v>
      </c>
      <c r="R391" s="50">
        <v>56.3</v>
      </c>
      <c r="S391" s="50">
        <v>37.4</v>
      </c>
      <c r="T391" s="50">
        <v>62</v>
      </c>
      <c r="U391" s="50">
        <v>7.65</v>
      </c>
      <c r="V391" s="50">
        <v>66.7</v>
      </c>
      <c r="W391" s="50">
        <v>72</v>
      </c>
      <c r="X391" s="50">
        <v>507</v>
      </c>
      <c r="Y391" s="50">
        <v>10.41</v>
      </c>
      <c r="Z391" s="50">
        <v>39.299999999999997</v>
      </c>
      <c r="AA391" s="50">
        <v>6.02</v>
      </c>
      <c r="AB391" s="50"/>
      <c r="AC391" s="50"/>
      <c r="AD391" s="50"/>
      <c r="AE391" s="50"/>
      <c r="AF391" s="50"/>
      <c r="AG391" s="50"/>
      <c r="AH391" s="50"/>
      <c r="AI391" s="50"/>
      <c r="AJ391" s="50"/>
    </row>
    <row r="392" spans="1:36" ht="15" customHeight="1" x14ac:dyDescent="0.25">
      <c r="A392" s="50">
        <v>79</v>
      </c>
      <c r="B392" s="50" t="s">
        <v>924</v>
      </c>
      <c r="C392" s="50" t="s">
        <v>1357</v>
      </c>
      <c r="D392" s="50">
        <v>43</v>
      </c>
      <c r="E392" s="50" t="s">
        <v>1355</v>
      </c>
      <c r="F392" s="50">
        <v>0</v>
      </c>
      <c r="G392" s="50">
        <v>7.3</v>
      </c>
      <c r="H392" s="50">
        <v>37</v>
      </c>
      <c r="I392" s="50">
        <v>3.56</v>
      </c>
      <c r="J392" s="50">
        <v>99</v>
      </c>
      <c r="K392" s="50">
        <v>100</v>
      </c>
      <c r="L392" s="50">
        <v>6.55</v>
      </c>
      <c r="M392" s="50">
        <v>5.26</v>
      </c>
      <c r="N392" s="50">
        <v>51</v>
      </c>
      <c r="O392" s="50">
        <v>12.4</v>
      </c>
      <c r="P392" s="50">
        <v>14.5</v>
      </c>
      <c r="Q392" s="50">
        <v>56.9</v>
      </c>
      <c r="R392" s="50">
        <v>41.6</v>
      </c>
      <c r="S392" s="50">
        <v>15.7</v>
      </c>
      <c r="T392" s="50">
        <v>43</v>
      </c>
      <c r="U392" s="50">
        <v>9.7200000000000006</v>
      </c>
      <c r="V392" s="50">
        <v>52.9</v>
      </c>
      <c r="W392" s="50">
        <v>32</v>
      </c>
      <c r="X392" s="50">
        <v>319</v>
      </c>
      <c r="Y392" s="50">
        <v>15.64</v>
      </c>
      <c r="Z392" s="50">
        <v>31.6</v>
      </c>
      <c r="AA392" s="50">
        <v>5.24</v>
      </c>
      <c r="AB392" s="50"/>
      <c r="AC392" s="50"/>
      <c r="AD392" s="50"/>
      <c r="AE392" s="50"/>
      <c r="AF392" s="50"/>
      <c r="AG392" s="50"/>
      <c r="AH392" s="50"/>
      <c r="AI392" s="50"/>
      <c r="AJ392" s="50"/>
    </row>
    <row r="393" spans="1:36" ht="15" customHeight="1" x14ac:dyDescent="0.25">
      <c r="A393" s="50">
        <v>79</v>
      </c>
      <c r="B393" s="50" t="s">
        <v>924</v>
      </c>
      <c r="C393" s="50" t="s">
        <v>1357</v>
      </c>
      <c r="D393" s="50">
        <v>43</v>
      </c>
      <c r="E393" s="50" t="s">
        <v>1355</v>
      </c>
      <c r="F393" s="50">
        <v>4</v>
      </c>
      <c r="G393" s="50">
        <v>6.6</v>
      </c>
      <c r="H393" s="50">
        <v>34</v>
      </c>
      <c r="I393" s="50">
        <v>3.26</v>
      </c>
      <c r="J393" s="50">
        <v>107</v>
      </c>
      <c r="K393" s="50">
        <v>92</v>
      </c>
      <c r="L393" s="50">
        <v>5.82</v>
      </c>
      <c r="M393" s="50">
        <v>4.63</v>
      </c>
      <c r="N393" s="50">
        <v>46</v>
      </c>
      <c r="O393" s="50">
        <v>11.9</v>
      </c>
      <c r="P393" s="50">
        <v>12.9</v>
      </c>
      <c r="Q393" s="50">
        <v>53.5</v>
      </c>
      <c r="R393" s="50">
        <v>43.3</v>
      </c>
      <c r="S393" s="50">
        <v>17.600000000000001</v>
      </c>
      <c r="T393" s="50">
        <v>44</v>
      </c>
      <c r="U393" s="50">
        <v>9.26</v>
      </c>
      <c r="V393" s="50">
        <v>55.2</v>
      </c>
      <c r="W393" s="50">
        <v>37</v>
      </c>
      <c r="X393" s="50">
        <v>367</v>
      </c>
      <c r="Y393" s="50">
        <v>14.54</v>
      </c>
      <c r="Z393" s="50">
        <v>34</v>
      </c>
      <c r="AA393" s="50">
        <v>5.51</v>
      </c>
      <c r="AB393" s="50"/>
      <c r="AC393" s="50"/>
      <c r="AD393" s="50"/>
      <c r="AE393" s="50"/>
      <c r="AF393" s="50"/>
      <c r="AG393" s="50"/>
      <c r="AH393" s="50"/>
      <c r="AI393" s="50"/>
      <c r="AJ393" s="50"/>
    </row>
    <row r="394" spans="1:36" ht="15" customHeight="1" x14ac:dyDescent="0.25">
      <c r="A394" s="50">
        <v>79</v>
      </c>
      <c r="B394" s="50" t="s">
        <v>924</v>
      </c>
      <c r="C394" s="50" t="s">
        <v>1357</v>
      </c>
      <c r="D394" s="50">
        <v>43</v>
      </c>
      <c r="E394" s="50" t="s">
        <v>1355</v>
      </c>
      <c r="F394" s="50">
        <v>8</v>
      </c>
      <c r="G394" s="50">
        <v>5.6</v>
      </c>
      <c r="H394" s="50">
        <v>32</v>
      </c>
      <c r="I394" s="50">
        <v>3.03</v>
      </c>
      <c r="J394" s="50">
        <v>110</v>
      </c>
      <c r="K394" s="50">
        <v>84</v>
      </c>
      <c r="L394" s="50">
        <v>4.9000000000000004</v>
      </c>
      <c r="M394" s="50">
        <v>4.5599999999999996</v>
      </c>
      <c r="N394" s="50">
        <v>43</v>
      </c>
      <c r="O394" s="50">
        <v>12.3</v>
      </c>
      <c r="P394" s="50">
        <v>12.8</v>
      </c>
      <c r="Q394" s="50">
        <v>47.2</v>
      </c>
      <c r="R394" s="50">
        <v>49</v>
      </c>
      <c r="S394" s="50">
        <v>22.3</v>
      </c>
      <c r="T394" s="50">
        <v>55</v>
      </c>
      <c r="U394" s="50">
        <v>9.39</v>
      </c>
      <c r="V394" s="50">
        <v>60</v>
      </c>
      <c r="W394" s="50">
        <v>46</v>
      </c>
      <c r="X394" s="50">
        <v>395</v>
      </c>
      <c r="Y394" s="50">
        <v>13.42</v>
      </c>
      <c r="Z394" s="50">
        <v>35</v>
      </c>
      <c r="AA394" s="50">
        <v>6.06</v>
      </c>
      <c r="AB394" s="50"/>
      <c r="AC394" s="50"/>
      <c r="AD394" s="50"/>
      <c r="AE394" s="50"/>
      <c r="AF394" s="50"/>
      <c r="AG394" s="50"/>
      <c r="AH394" s="50"/>
      <c r="AI394" s="50"/>
      <c r="AJ394" s="50"/>
    </row>
    <row r="395" spans="1:36" ht="15" customHeight="1" x14ac:dyDescent="0.25">
      <c r="A395" s="50">
        <v>79</v>
      </c>
      <c r="B395" s="50" t="s">
        <v>924</v>
      </c>
      <c r="C395" s="50" t="s">
        <v>1357</v>
      </c>
      <c r="D395" s="50">
        <v>43</v>
      </c>
      <c r="E395" s="50" t="s">
        <v>1355</v>
      </c>
      <c r="F395" s="50">
        <v>12</v>
      </c>
      <c r="G395" s="50">
        <v>5.0999999999999996</v>
      </c>
      <c r="H395" s="50">
        <v>26</v>
      </c>
      <c r="I395" s="50">
        <v>2.62</v>
      </c>
      <c r="J395" s="50">
        <v>115</v>
      </c>
      <c r="K395" s="50">
        <v>76</v>
      </c>
      <c r="L395" s="50">
        <v>4.92</v>
      </c>
      <c r="M395" s="50">
        <v>4.08</v>
      </c>
      <c r="N395" s="50">
        <v>38</v>
      </c>
      <c r="O395" s="50">
        <v>11.9</v>
      </c>
      <c r="P395" s="50">
        <v>10.1</v>
      </c>
      <c r="Q395" s="50">
        <v>44.5</v>
      </c>
      <c r="R395" s="50">
        <v>52.3</v>
      </c>
      <c r="S395" s="50">
        <v>25.9</v>
      </c>
      <c r="T395" s="50">
        <v>54</v>
      </c>
      <c r="U395" s="50">
        <v>7.56</v>
      </c>
      <c r="V395" s="50">
        <v>58.3</v>
      </c>
      <c r="W395" s="50">
        <v>47</v>
      </c>
      <c r="X395" s="50">
        <v>408</v>
      </c>
      <c r="Y395" s="50">
        <v>12.6</v>
      </c>
      <c r="Z395" s="50">
        <v>35</v>
      </c>
      <c r="AA395" s="50">
        <v>6.49</v>
      </c>
      <c r="AB395" s="50"/>
      <c r="AC395" s="50"/>
      <c r="AD395" s="50"/>
      <c r="AE395" s="50"/>
      <c r="AF395" s="50"/>
      <c r="AG395" s="50"/>
      <c r="AH395" s="50"/>
      <c r="AI395" s="50"/>
      <c r="AJ395" s="50"/>
    </row>
    <row r="396" spans="1:36" ht="15" customHeight="1" x14ac:dyDescent="0.25">
      <c r="A396" s="50">
        <v>79</v>
      </c>
      <c r="B396" s="50" t="s">
        <v>924</v>
      </c>
      <c r="C396" s="50" t="s">
        <v>1357</v>
      </c>
      <c r="D396" s="50">
        <v>43</v>
      </c>
      <c r="E396" s="50" t="s">
        <v>1355</v>
      </c>
      <c r="F396" s="50">
        <v>21</v>
      </c>
      <c r="G396" s="50">
        <v>3.1</v>
      </c>
      <c r="H396" s="50">
        <v>21</v>
      </c>
      <c r="I396" s="50">
        <v>1.99</v>
      </c>
      <c r="J396" s="50">
        <v>120</v>
      </c>
      <c r="K396" s="50">
        <v>58</v>
      </c>
      <c r="L396" s="50">
        <v>3.35</v>
      </c>
      <c r="M396" s="50">
        <v>3.04</v>
      </c>
      <c r="N396" s="50">
        <v>30</v>
      </c>
      <c r="O396" s="50">
        <v>9.8000000000000007</v>
      </c>
      <c r="P396" s="50">
        <v>6.6</v>
      </c>
      <c r="Q396" s="50">
        <v>32.299999999999997</v>
      </c>
      <c r="R396" s="50">
        <v>60.6</v>
      </c>
      <c r="S396" s="50">
        <v>30.5</v>
      </c>
      <c r="T396" s="50">
        <v>69</v>
      </c>
      <c r="U396" s="50">
        <v>8.1</v>
      </c>
      <c r="V396" s="50">
        <v>63.9</v>
      </c>
      <c r="W396" s="50">
        <v>59</v>
      </c>
      <c r="X396" s="50">
        <v>495</v>
      </c>
      <c r="Y396" s="50">
        <v>11.41</v>
      </c>
      <c r="Z396" s="50">
        <v>40.799999999999997</v>
      </c>
      <c r="AA396" s="50">
        <v>6.67</v>
      </c>
      <c r="AB396" s="50"/>
      <c r="AC396" s="50"/>
      <c r="AD396" s="50"/>
      <c r="AE396" s="50"/>
      <c r="AF396" s="50"/>
      <c r="AG396" s="50"/>
      <c r="AH396" s="50"/>
      <c r="AI396" s="50"/>
      <c r="AJ396" s="50"/>
    </row>
    <row r="397" spans="1:36" ht="15" customHeight="1" x14ac:dyDescent="0.25">
      <c r="A397" s="50">
        <v>80</v>
      </c>
      <c r="B397" s="50" t="s">
        <v>924</v>
      </c>
      <c r="C397" s="50" t="s">
        <v>1357</v>
      </c>
      <c r="D397" s="50">
        <v>28</v>
      </c>
      <c r="E397" s="50" t="s">
        <v>1353</v>
      </c>
      <c r="F397" s="50">
        <v>0</v>
      </c>
      <c r="G397" s="50">
        <v>7.2</v>
      </c>
      <c r="H397" s="50">
        <v>42</v>
      </c>
      <c r="I397" s="50">
        <v>2.33</v>
      </c>
      <c r="J397" s="50">
        <v>98</v>
      </c>
      <c r="K397" s="50">
        <v>100</v>
      </c>
      <c r="L397" s="50">
        <v>6.64</v>
      </c>
      <c r="M397" s="50">
        <v>7.53</v>
      </c>
      <c r="N397" s="50">
        <v>42</v>
      </c>
      <c r="O397" s="50">
        <v>13.8</v>
      </c>
      <c r="P397" s="50">
        <v>10.4</v>
      </c>
      <c r="Q397" s="50">
        <v>47.8</v>
      </c>
      <c r="R397" s="50">
        <v>26.7</v>
      </c>
      <c r="S397" s="50">
        <v>9.5</v>
      </c>
      <c r="T397" s="50">
        <v>28</v>
      </c>
      <c r="U397" s="50">
        <v>9.19</v>
      </c>
      <c r="V397" s="50">
        <v>51.6</v>
      </c>
      <c r="W397" s="50">
        <v>47</v>
      </c>
      <c r="X397" s="50">
        <v>348</v>
      </c>
      <c r="Y397" s="50">
        <v>15.18</v>
      </c>
      <c r="Z397" s="50">
        <v>24.4</v>
      </c>
      <c r="AA397" s="50">
        <v>4.21</v>
      </c>
      <c r="AB397" s="50"/>
      <c r="AC397" s="50"/>
      <c r="AD397" s="50"/>
      <c r="AE397" s="50"/>
      <c r="AF397" s="50"/>
      <c r="AG397" s="50"/>
      <c r="AH397" s="50"/>
      <c r="AI397" s="50"/>
      <c r="AJ397" s="50"/>
    </row>
    <row r="398" spans="1:36" ht="15" customHeight="1" x14ac:dyDescent="0.25">
      <c r="A398" s="50">
        <v>80</v>
      </c>
      <c r="B398" s="50" t="s">
        <v>924</v>
      </c>
      <c r="C398" s="50" t="s">
        <v>1357</v>
      </c>
      <c r="D398" s="50">
        <v>28</v>
      </c>
      <c r="E398" s="50" t="s">
        <v>1353</v>
      </c>
      <c r="F398" s="50">
        <v>4</v>
      </c>
      <c r="G398" s="50">
        <v>6.3</v>
      </c>
      <c r="H398" s="50">
        <v>38</v>
      </c>
      <c r="I398" s="50">
        <v>2.0499999999999998</v>
      </c>
      <c r="J398" s="50">
        <v>100</v>
      </c>
      <c r="K398" s="50">
        <v>92</v>
      </c>
      <c r="L398" s="50">
        <v>5.82</v>
      </c>
      <c r="M398" s="50">
        <v>6.65</v>
      </c>
      <c r="N398" s="50">
        <v>42</v>
      </c>
      <c r="O398" s="50">
        <v>12.9</v>
      </c>
      <c r="P398" s="50">
        <v>9.6999999999999993</v>
      </c>
      <c r="Q398" s="50">
        <v>42.6</v>
      </c>
      <c r="R398" s="50">
        <v>35.4</v>
      </c>
      <c r="S398" s="50">
        <v>14</v>
      </c>
      <c r="T398" s="50">
        <v>37</v>
      </c>
      <c r="U398" s="50">
        <v>8.7899999999999991</v>
      </c>
      <c r="V398" s="50">
        <v>53.9</v>
      </c>
      <c r="W398" s="50">
        <v>52</v>
      </c>
      <c r="X398" s="50">
        <v>378</v>
      </c>
      <c r="Y398" s="50">
        <v>14.46</v>
      </c>
      <c r="Z398" s="50">
        <v>26</v>
      </c>
      <c r="AA398" s="50">
        <v>4.71</v>
      </c>
      <c r="AB398" s="50"/>
      <c r="AC398" s="50"/>
      <c r="AD398" s="50"/>
      <c r="AE398" s="50"/>
      <c r="AF398" s="50"/>
      <c r="AG398" s="50"/>
      <c r="AH398" s="50"/>
      <c r="AI398" s="50"/>
      <c r="AJ398" s="50"/>
    </row>
    <row r="399" spans="1:36" ht="15" customHeight="1" x14ac:dyDescent="0.25">
      <c r="A399" s="50">
        <v>80</v>
      </c>
      <c r="B399" s="50" t="s">
        <v>924</v>
      </c>
      <c r="C399" s="50" t="s">
        <v>1357</v>
      </c>
      <c r="D399" s="50">
        <v>28</v>
      </c>
      <c r="E399" s="50" t="s">
        <v>1353</v>
      </c>
      <c r="F399" s="50">
        <v>8</v>
      </c>
      <c r="G399" s="50">
        <v>5.6</v>
      </c>
      <c r="H399" s="50">
        <v>36</v>
      </c>
      <c r="I399" s="50">
        <v>1.87</v>
      </c>
      <c r="J399" s="50">
        <v>104</v>
      </c>
      <c r="K399" s="50">
        <v>84</v>
      </c>
      <c r="L399" s="50">
        <v>5.23</v>
      </c>
      <c r="M399" s="50">
        <v>5.91</v>
      </c>
      <c r="N399" s="50">
        <v>39</v>
      </c>
      <c r="O399" s="50">
        <v>12.4</v>
      </c>
      <c r="P399" s="50">
        <v>8.4</v>
      </c>
      <c r="Q399" s="50">
        <v>40.1</v>
      </c>
      <c r="R399" s="50">
        <v>38.6</v>
      </c>
      <c r="S399" s="50">
        <v>16.100000000000001</v>
      </c>
      <c r="T399" s="50">
        <v>43</v>
      </c>
      <c r="U399" s="50">
        <v>6.99</v>
      </c>
      <c r="V399" s="50">
        <v>59.3</v>
      </c>
      <c r="W399" s="50">
        <v>55</v>
      </c>
      <c r="X399" s="50">
        <v>398</v>
      </c>
      <c r="Y399" s="50">
        <v>14.35</v>
      </c>
      <c r="Z399" s="50">
        <v>28.6</v>
      </c>
      <c r="AA399" s="50">
        <v>5</v>
      </c>
      <c r="AB399" s="50"/>
      <c r="AC399" s="50"/>
      <c r="AD399" s="50"/>
      <c r="AE399" s="50"/>
      <c r="AF399" s="50"/>
      <c r="AG399" s="50"/>
      <c r="AH399" s="50"/>
      <c r="AI399" s="50"/>
      <c r="AJ399" s="50"/>
    </row>
    <row r="400" spans="1:36" ht="15" customHeight="1" x14ac:dyDescent="0.25">
      <c r="A400" s="50">
        <v>80</v>
      </c>
      <c r="B400" s="50" t="s">
        <v>924</v>
      </c>
      <c r="C400" s="50" t="s">
        <v>1357</v>
      </c>
      <c r="D400" s="50">
        <v>28</v>
      </c>
      <c r="E400" s="50" t="s">
        <v>1353</v>
      </c>
      <c r="F400" s="50">
        <v>12</v>
      </c>
      <c r="G400" s="50">
        <v>4.8</v>
      </c>
      <c r="H400" s="50">
        <v>32</v>
      </c>
      <c r="I400" s="50">
        <v>1.61</v>
      </c>
      <c r="J400" s="50">
        <v>105</v>
      </c>
      <c r="K400" s="50">
        <v>76</v>
      </c>
      <c r="L400" s="50">
        <v>4.24</v>
      </c>
      <c r="M400" s="50">
        <v>5.58</v>
      </c>
      <c r="N400" s="50">
        <v>36</v>
      </c>
      <c r="O400" s="50">
        <v>10.9</v>
      </c>
      <c r="P400" s="50">
        <v>8.6999999999999993</v>
      </c>
      <c r="Q400" s="50">
        <v>38</v>
      </c>
      <c r="R400" s="50">
        <v>41.6</v>
      </c>
      <c r="S400" s="50">
        <v>19</v>
      </c>
      <c r="T400" s="50">
        <v>50</v>
      </c>
      <c r="U400" s="50">
        <v>7.33</v>
      </c>
      <c r="V400" s="50">
        <v>61.4</v>
      </c>
      <c r="W400" s="50">
        <v>59</v>
      </c>
      <c r="X400" s="50">
        <v>421</v>
      </c>
      <c r="Y400" s="50">
        <v>13.29</v>
      </c>
      <c r="Z400" s="50">
        <v>30.7</v>
      </c>
      <c r="AA400" s="50">
        <v>5.42</v>
      </c>
      <c r="AB400" s="50"/>
      <c r="AC400" s="50"/>
      <c r="AD400" s="50"/>
      <c r="AE400" s="50"/>
      <c r="AF400" s="50"/>
      <c r="AG400" s="50"/>
      <c r="AH400" s="50"/>
      <c r="AI400" s="50"/>
      <c r="AJ400" s="50"/>
    </row>
    <row r="401" spans="1:36" ht="15" customHeight="1" x14ac:dyDescent="0.25">
      <c r="A401" s="50">
        <v>80</v>
      </c>
      <c r="B401" s="50" t="s">
        <v>924</v>
      </c>
      <c r="C401" s="50" t="s">
        <v>1357</v>
      </c>
      <c r="D401" s="50">
        <v>28</v>
      </c>
      <c r="E401" s="50" t="s">
        <v>1353</v>
      </c>
      <c r="F401" s="50">
        <v>21</v>
      </c>
      <c r="G401" s="50">
        <v>3.1</v>
      </c>
      <c r="H401" s="50">
        <v>23</v>
      </c>
      <c r="I401" s="50">
        <v>1.21</v>
      </c>
      <c r="J401" s="50">
        <v>119</v>
      </c>
      <c r="K401" s="50">
        <v>58</v>
      </c>
      <c r="L401" s="50">
        <v>2.84</v>
      </c>
      <c r="M401" s="50">
        <v>3.86</v>
      </c>
      <c r="N401" s="50">
        <v>27</v>
      </c>
      <c r="O401" s="50">
        <v>9</v>
      </c>
      <c r="P401" s="50">
        <v>9</v>
      </c>
      <c r="Q401" s="50">
        <v>34.4</v>
      </c>
      <c r="R401" s="50">
        <v>58.7</v>
      </c>
      <c r="S401" s="50">
        <v>29.1</v>
      </c>
      <c r="T401" s="50">
        <v>70</v>
      </c>
      <c r="U401" s="50">
        <v>4.21</v>
      </c>
      <c r="V401" s="50">
        <v>65.900000000000006</v>
      </c>
      <c r="W401" s="50">
        <v>61</v>
      </c>
      <c r="X401" s="50">
        <v>477</v>
      </c>
      <c r="Y401" s="50">
        <v>11.51</v>
      </c>
      <c r="Z401" s="50">
        <v>34.700000000000003</v>
      </c>
      <c r="AA401" s="50">
        <v>5.85</v>
      </c>
      <c r="AB401" s="50"/>
      <c r="AC401" s="50"/>
      <c r="AD401" s="50"/>
      <c r="AE401" s="50"/>
      <c r="AF401" s="50"/>
      <c r="AG401" s="50"/>
      <c r="AH401" s="50"/>
      <c r="AI401" s="50"/>
      <c r="AJ401" s="50"/>
    </row>
    <row r="402" spans="1:36" ht="15" customHeight="1" x14ac:dyDescent="0.25">
      <c r="A402" s="50">
        <v>81</v>
      </c>
      <c r="B402" s="50" t="s">
        <v>924</v>
      </c>
      <c r="C402" s="50" t="s">
        <v>1357</v>
      </c>
      <c r="D402" s="50">
        <v>50</v>
      </c>
      <c r="E402" s="50" t="s">
        <v>1353</v>
      </c>
      <c r="F402" s="50">
        <v>0</v>
      </c>
      <c r="G402" s="50">
        <v>6.8</v>
      </c>
      <c r="H402" s="50">
        <v>40</v>
      </c>
      <c r="I402" s="50">
        <v>4.24</v>
      </c>
      <c r="J402" s="50">
        <v>104</v>
      </c>
      <c r="K402" s="50">
        <v>100</v>
      </c>
      <c r="L402" s="50">
        <v>7.42</v>
      </c>
      <c r="M402" s="50">
        <v>6.24</v>
      </c>
      <c r="N402" s="50">
        <v>36</v>
      </c>
      <c r="O402" s="50">
        <v>17</v>
      </c>
      <c r="P402" s="50">
        <v>11.7</v>
      </c>
      <c r="Q402" s="50">
        <v>47.8</v>
      </c>
      <c r="R402" s="50">
        <v>45.6</v>
      </c>
      <c r="S402" s="50">
        <v>21</v>
      </c>
      <c r="T402" s="50">
        <v>46</v>
      </c>
      <c r="U402" s="50">
        <v>10.32</v>
      </c>
      <c r="V402" s="50">
        <v>56.2</v>
      </c>
      <c r="W402" s="50">
        <v>60</v>
      </c>
      <c r="X402" s="50">
        <v>315</v>
      </c>
      <c r="Y402" s="50">
        <v>10.82</v>
      </c>
      <c r="Z402" s="50">
        <v>26.2</v>
      </c>
      <c r="AA402" s="50">
        <v>4.57</v>
      </c>
      <c r="AB402" s="50"/>
      <c r="AC402" s="50"/>
      <c r="AD402" s="50"/>
      <c r="AE402" s="50"/>
      <c r="AF402" s="50"/>
      <c r="AG402" s="50"/>
      <c r="AH402" s="50"/>
      <c r="AI402" s="50"/>
      <c r="AJ402" s="50"/>
    </row>
    <row r="403" spans="1:36" ht="15" customHeight="1" x14ac:dyDescent="0.25">
      <c r="A403" s="50">
        <v>81</v>
      </c>
      <c r="B403" s="50" t="s">
        <v>924</v>
      </c>
      <c r="C403" s="50" t="s">
        <v>1357</v>
      </c>
      <c r="D403" s="50">
        <v>50</v>
      </c>
      <c r="E403" s="50" t="s">
        <v>1353</v>
      </c>
      <c r="F403" s="50">
        <v>4</v>
      </c>
      <c r="G403" s="50">
        <v>6</v>
      </c>
      <c r="H403" s="50">
        <v>36</v>
      </c>
      <c r="I403" s="50">
        <v>3.81</v>
      </c>
      <c r="J403" s="50">
        <v>107</v>
      </c>
      <c r="K403" s="50">
        <v>92</v>
      </c>
      <c r="L403" s="50">
        <v>6.36</v>
      </c>
      <c r="M403" s="50">
        <v>5.72</v>
      </c>
      <c r="N403" s="50">
        <v>33</v>
      </c>
      <c r="O403" s="50">
        <v>14.7</v>
      </c>
      <c r="P403" s="50">
        <v>11.2</v>
      </c>
      <c r="Q403" s="50">
        <v>44.2</v>
      </c>
      <c r="R403" s="50">
        <v>48.4</v>
      </c>
      <c r="S403" s="50">
        <v>21.1</v>
      </c>
      <c r="T403" s="50">
        <v>50</v>
      </c>
      <c r="U403" s="50">
        <v>8.7799999999999994</v>
      </c>
      <c r="V403" s="50">
        <v>57.2</v>
      </c>
      <c r="W403" s="50">
        <v>61</v>
      </c>
      <c r="X403" s="50">
        <v>329</v>
      </c>
      <c r="Y403" s="50">
        <v>10.3</v>
      </c>
      <c r="Z403" s="50">
        <v>27.4</v>
      </c>
      <c r="AA403" s="50">
        <v>5.19</v>
      </c>
      <c r="AB403" s="50"/>
      <c r="AC403" s="50"/>
      <c r="AD403" s="50"/>
      <c r="AE403" s="50"/>
      <c r="AF403" s="50"/>
      <c r="AG403" s="50"/>
      <c r="AH403" s="50"/>
      <c r="AI403" s="50"/>
      <c r="AJ403" s="50"/>
    </row>
    <row r="404" spans="1:36" ht="15" customHeight="1" x14ac:dyDescent="0.25">
      <c r="A404" s="50">
        <v>81</v>
      </c>
      <c r="B404" s="50" t="s">
        <v>924</v>
      </c>
      <c r="C404" s="50" t="s">
        <v>1357</v>
      </c>
      <c r="D404" s="50">
        <v>50</v>
      </c>
      <c r="E404" s="50" t="s">
        <v>1353</v>
      </c>
      <c r="F404" s="50">
        <v>8</v>
      </c>
      <c r="G404" s="50">
        <v>5.6</v>
      </c>
      <c r="H404" s="50">
        <v>32</v>
      </c>
      <c r="I404" s="50">
        <v>3.48</v>
      </c>
      <c r="J404" s="50">
        <v>112</v>
      </c>
      <c r="K404" s="50">
        <v>84</v>
      </c>
      <c r="L404" s="50">
        <v>5.97</v>
      </c>
      <c r="M404" s="50">
        <v>5.47</v>
      </c>
      <c r="N404" s="50">
        <v>32</v>
      </c>
      <c r="O404" s="50">
        <v>13.8</v>
      </c>
      <c r="P404" s="50">
        <v>10.6</v>
      </c>
      <c r="Q404" s="50">
        <v>38.5</v>
      </c>
      <c r="R404" s="50">
        <v>47.8</v>
      </c>
      <c r="S404" s="50">
        <v>22.5</v>
      </c>
      <c r="T404" s="50">
        <v>53</v>
      </c>
      <c r="U404" s="50">
        <v>9.69</v>
      </c>
      <c r="V404" s="50">
        <v>58.5</v>
      </c>
      <c r="W404" s="50">
        <v>62</v>
      </c>
      <c r="X404" s="50">
        <v>347</v>
      </c>
      <c r="Y404" s="50">
        <v>10.57</v>
      </c>
      <c r="Z404" s="50">
        <v>30.5</v>
      </c>
      <c r="AA404" s="50">
        <v>5.04</v>
      </c>
      <c r="AB404" s="50"/>
      <c r="AC404" s="50"/>
      <c r="AD404" s="50"/>
      <c r="AE404" s="50"/>
      <c r="AF404" s="50"/>
      <c r="AG404" s="50"/>
      <c r="AH404" s="50"/>
      <c r="AI404" s="50"/>
      <c r="AJ404" s="50"/>
    </row>
    <row r="405" spans="1:36" ht="15" customHeight="1" x14ac:dyDescent="0.25">
      <c r="A405" s="50">
        <v>81</v>
      </c>
      <c r="B405" s="50" t="s">
        <v>924</v>
      </c>
      <c r="C405" s="50" t="s">
        <v>1357</v>
      </c>
      <c r="D405" s="50">
        <v>50</v>
      </c>
      <c r="E405" s="50" t="s">
        <v>1353</v>
      </c>
      <c r="F405" s="50">
        <v>12</v>
      </c>
      <c r="G405" s="50">
        <v>4.5</v>
      </c>
      <c r="H405" s="50">
        <v>30</v>
      </c>
      <c r="I405" s="50">
        <v>3.13</v>
      </c>
      <c r="J405" s="50">
        <v>114</v>
      </c>
      <c r="K405" s="50">
        <v>76</v>
      </c>
      <c r="L405" s="50">
        <v>4.71</v>
      </c>
      <c r="M405" s="50">
        <v>4.45</v>
      </c>
      <c r="N405" s="50">
        <v>27</v>
      </c>
      <c r="O405" s="50">
        <v>12.3</v>
      </c>
      <c r="P405" s="50">
        <v>8.1999999999999993</v>
      </c>
      <c r="Q405" s="50">
        <v>34.1</v>
      </c>
      <c r="R405" s="50">
        <v>53.8</v>
      </c>
      <c r="S405" s="50">
        <v>22.6</v>
      </c>
      <c r="T405" s="50">
        <v>58</v>
      </c>
      <c r="U405" s="50">
        <v>6.73</v>
      </c>
      <c r="V405" s="50">
        <v>57.8</v>
      </c>
      <c r="W405" s="50">
        <v>65</v>
      </c>
      <c r="X405" s="50">
        <v>353</v>
      </c>
      <c r="Y405" s="50">
        <v>10.15</v>
      </c>
      <c r="Z405" s="50">
        <v>33.700000000000003</v>
      </c>
      <c r="AA405" s="50">
        <v>5.26</v>
      </c>
      <c r="AB405" s="50"/>
      <c r="AC405" s="50"/>
      <c r="AD405" s="50"/>
      <c r="AE405" s="50"/>
      <c r="AF405" s="50"/>
      <c r="AG405" s="50"/>
      <c r="AH405" s="50"/>
      <c r="AI405" s="50"/>
      <c r="AJ405" s="50"/>
    </row>
    <row r="406" spans="1:36" ht="15" customHeight="1" x14ac:dyDescent="0.25">
      <c r="A406" s="50">
        <v>81</v>
      </c>
      <c r="B406" s="50" t="s">
        <v>924</v>
      </c>
      <c r="C406" s="50" t="s">
        <v>1357</v>
      </c>
      <c r="D406" s="50">
        <v>50</v>
      </c>
      <c r="E406" s="50" t="s">
        <v>1353</v>
      </c>
      <c r="F406" s="50">
        <v>21</v>
      </c>
      <c r="G406" s="50">
        <v>3</v>
      </c>
      <c r="H406" s="50">
        <v>21</v>
      </c>
      <c r="I406" s="50">
        <v>2.31</v>
      </c>
      <c r="J406" s="50">
        <v>126</v>
      </c>
      <c r="K406" s="50">
        <v>58</v>
      </c>
      <c r="L406" s="50">
        <v>3.15</v>
      </c>
      <c r="M406" s="50">
        <v>3.39</v>
      </c>
      <c r="N406" s="50">
        <v>30</v>
      </c>
      <c r="O406" s="50">
        <v>10.1</v>
      </c>
      <c r="P406" s="50">
        <v>7.5</v>
      </c>
      <c r="Q406" s="50">
        <v>22.1</v>
      </c>
      <c r="R406" s="50">
        <v>58.8</v>
      </c>
      <c r="S406" s="50">
        <v>29.1</v>
      </c>
      <c r="T406" s="50">
        <v>69</v>
      </c>
      <c r="U406" s="50">
        <v>5.56</v>
      </c>
      <c r="V406" s="50">
        <v>60.9</v>
      </c>
      <c r="W406" s="50">
        <v>73</v>
      </c>
      <c r="X406" s="50">
        <v>421</v>
      </c>
      <c r="Y406" s="50">
        <v>9.7799999999999994</v>
      </c>
      <c r="Z406" s="50">
        <v>36.299999999999997</v>
      </c>
      <c r="AA406" s="50">
        <v>5.96</v>
      </c>
      <c r="AB406" s="50"/>
      <c r="AC406" s="50"/>
      <c r="AD406" s="50"/>
      <c r="AE406" s="50"/>
      <c r="AF406" s="50"/>
      <c r="AG406" s="50"/>
      <c r="AH406" s="50"/>
      <c r="AI406" s="50"/>
      <c r="AJ406" s="50"/>
    </row>
    <row r="407" spans="1:36" ht="15" customHeight="1" x14ac:dyDescent="0.25">
      <c r="A407" s="50">
        <v>82</v>
      </c>
      <c r="B407" s="50" t="s">
        <v>924</v>
      </c>
      <c r="C407" s="50" t="s">
        <v>1352</v>
      </c>
      <c r="D407" s="50">
        <v>39</v>
      </c>
      <c r="E407" s="50" t="s">
        <v>1353</v>
      </c>
      <c r="F407" s="50">
        <v>0</v>
      </c>
      <c r="G407" s="50">
        <v>7.4</v>
      </c>
      <c r="H407" s="50">
        <v>27</v>
      </c>
      <c r="I407" s="50">
        <v>3.56</v>
      </c>
      <c r="J407" s="50">
        <v>98</v>
      </c>
      <c r="K407" s="50">
        <v>100</v>
      </c>
      <c r="L407" s="50">
        <v>7.61</v>
      </c>
      <c r="M407" s="50">
        <v>5.95</v>
      </c>
      <c r="N407" s="50">
        <v>40</v>
      </c>
      <c r="O407" s="50">
        <v>11</v>
      </c>
      <c r="P407" s="50">
        <v>8.8000000000000007</v>
      </c>
      <c r="Q407" s="50">
        <v>65.099999999999994</v>
      </c>
      <c r="R407" s="50">
        <v>38.4</v>
      </c>
      <c r="S407" s="50">
        <v>20.5</v>
      </c>
      <c r="T407" s="50">
        <v>42</v>
      </c>
      <c r="U407" s="50">
        <v>7.41</v>
      </c>
      <c r="V407" s="50">
        <v>53</v>
      </c>
      <c r="W407" s="50">
        <v>51</v>
      </c>
      <c r="X407" s="50">
        <v>372</v>
      </c>
      <c r="Y407" s="50">
        <v>15.6</v>
      </c>
      <c r="Z407" s="50">
        <v>38.6</v>
      </c>
      <c r="AA407" s="50">
        <v>6.27</v>
      </c>
      <c r="AB407" s="50"/>
      <c r="AC407" s="50"/>
      <c r="AD407" s="50"/>
      <c r="AE407" s="50"/>
      <c r="AF407" s="50"/>
      <c r="AG407" s="50"/>
      <c r="AH407" s="50"/>
      <c r="AI407" s="50"/>
      <c r="AJ407" s="50"/>
    </row>
    <row r="408" spans="1:36" ht="15" customHeight="1" x14ac:dyDescent="0.25">
      <c r="A408" s="50">
        <v>82</v>
      </c>
      <c r="B408" s="50" t="s">
        <v>924</v>
      </c>
      <c r="C408" s="50" t="s">
        <v>1352</v>
      </c>
      <c r="D408" s="50">
        <v>39</v>
      </c>
      <c r="E408" s="50" t="s">
        <v>1353</v>
      </c>
      <c r="F408" s="50">
        <v>4</v>
      </c>
      <c r="G408" s="50">
        <v>6.7</v>
      </c>
      <c r="H408" s="50">
        <v>23</v>
      </c>
      <c r="I408" s="50">
        <v>3.16</v>
      </c>
      <c r="J408" s="50">
        <v>105</v>
      </c>
      <c r="K408" s="50">
        <v>92</v>
      </c>
      <c r="L408" s="50">
        <v>7.07</v>
      </c>
      <c r="M408" s="50">
        <v>5.63</v>
      </c>
      <c r="N408" s="50">
        <v>38</v>
      </c>
      <c r="O408" s="50">
        <v>11.2</v>
      </c>
      <c r="P408" s="50">
        <v>8.1999999999999993</v>
      </c>
      <c r="Q408" s="50">
        <v>61.1</v>
      </c>
      <c r="R408" s="50">
        <v>41.1</v>
      </c>
      <c r="S408" s="50">
        <v>26.5</v>
      </c>
      <c r="T408" s="50">
        <v>48</v>
      </c>
      <c r="U408" s="50">
        <v>7.15</v>
      </c>
      <c r="V408" s="50">
        <v>56.9</v>
      </c>
      <c r="W408" s="50">
        <v>52</v>
      </c>
      <c r="X408" s="50">
        <v>383</v>
      </c>
      <c r="Y408" s="50">
        <v>15.25</v>
      </c>
      <c r="Z408" s="50">
        <v>37.799999999999997</v>
      </c>
      <c r="AA408" s="50">
        <v>6.35</v>
      </c>
      <c r="AB408" s="50"/>
      <c r="AC408" s="50"/>
      <c r="AD408" s="50"/>
      <c r="AE408" s="50"/>
      <c r="AF408" s="50"/>
      <c r="AG408" s="50"/>
      <c r="AH408" s="50"/>
      <c r="AI408" s="50"/>
      <c r="AJ408" s="50"/>
    </row>
    <row r="409" spans="1:36" ht="15" customHeight="1" x14ac:dyDescent="0.25">
      <c r="A409" s="50">
        <v>82</v>
      </c>
      <c r="B409" s="50" t="s">
        <v>924</v>
      </c>
      <c r="C409" s="50" t="s">
        <v>1352</v>
      </c>
      <c r="D409" s="50">
        <v>39</v>
      </c>
      <c r="E409" s="50" t="s">
        <v>1353</v>
      </c>
      <c r="F409" s="50">
        <v>8</v>
      </c>
      <c r="G409" s="50">
        <v>5.7</v>
      </c>
      <c r="H409" s="50">
        <v>21</v>
      </c>
      <c r="I409" s="50">
        <v>2.9</v>
      </c>
      <c r="J409" s="50">
        <v>105</v>
      </c>
      <c r="K409" s="50">
        <v>84</v>
      </c>
      <c r="L409" s="50">
        <v>6.09</v>
      </c>
      <c r="M409" s="50">
        <v>4.91</v>
      </c>
      <c r="N409" s="50">
        <v>34</v>
      </c>
      <c r="O409" s="50">
        <v>10.1</v>
      </c>
      <c r="P409" s="50">
        <v>7.7</v>
      </c>
      <c r="Q409" s="50">
        <v>51.8</v>
      </c>
      <c r="R409" s="50">
        <v>45.6</v>
      </c>
      <c r="S409" s="50">
        <v>24.1</v>
      </c>
      <c r="T409" s="50">
        <v>53</v>
      </c>
      <c r="U409" s="50">
        <v>7.79</v>
      </c>
      <c r="V409" s="50">
        <v>60.2</v>
      </c>
      <c r="W409" s="50">
        <v>59</v>
      </c>
      <c r="X409" s="50">
        <v>420</v>
      </c>
      <c r="Y409" s="50">
        <v>14.05</v>
      </c>
      <c r="Z409" s="50">
        <v>40.799999999999997</v>
      </c>
      <c r="AA409" s="50">
        <v>6.44</v>
      </c>
      <c r="AB409" s="50"/>
      <c r="AC409" s="50"/>
      <c r="AD409" s="50"/>
      <c r="AE409" s="50"/>
      <c r="AF409" s="50"/>
      <c r="AG409" s="50"/>
      <c r="AH409" s="50"/>
      <c r="AI409" s="50"/>
      <c r="AJ409" s="50"/>
    </row>
    <row r="410" spans="1:36" ht="15" customHeight="1" x14ac:dyDescent="0.25">
      <c r="A410" s="50">
        <v>82</v>
      </c>
      <c r="B410" s="50" t="s">
        <v>924</v>
      </c>
      <c r="C410" s="50" t="s">
        <v>1352</v>
      </c>
      <c r="D410" s="50">
        <v>39</v>
      </c>
      <c r="E410" s="50" t="s">
        <v>1353</v>
      </c>
      <c r="F410" s="50">
        <v>12</v>
      </c>
      <c r="G410" s="50">
        <v>4.7</v>
      </c>
      <c r="H410" s="50">
        <v>18</v>
      </c>
      <c r="I410" s="50">
        <v>2.6</v>
      </c>
      <c r="J410" s="50">
        <v>108</v>
      </c>
      <c r="K410" s="50">
        <v>76</v>
      </c>
      <c r="L410" s="50">
        <v>5.1100000000000003</v>
      </c>
      <c r="M410" s="50">
        <v>4.03</v>
      </c>
      <c r="N410" s="50">
        <v>33</v>
      </c>
      <c r="O410" s="50">
        <v>9.5</v>
      </c>
      <c r="P410" s="50">
        <v>7.7</v>
      </c>
      <c r="Q410" s="50">
        <v>46.8</v>
      </c>
      <c r="R410" s="50">
        <v>54.1</v>
      </c>
      <c r="S410" s="50">
        <v>30.5</v>
      </c>
      <c r="T410" s="50">
        <v>56</v>
      </c>
      <c r="U410" s="50">
        <v>6.73</v>
      </c>
      <c r="V410" s="50">
        <v>62.1</v>
      </c>
      <c r="W410" s="50">
        <v>62</v>
      </c>
      <c r="X410" s="50">
        <v>434</v>
      </c>
      <c r="Y410" s="50">
        <v>12.83</v>
      </c>
      <c r="Z410" s="50">
        <v>39.299999999999997</v>
      </c>
      <c r="AA410" s="50">
        <v>6.87</v>
      </c>
      <c r="AB410" s="50"/>
      <c r="AC410" s="50"/>
      <c r="AD410" s="50"/>
      <c r="AE410" s="50"/>
      <c r="AF410" s="50"/>
      <c r="AG410" s="50"/>
      <c r="AH410" s="50"/>
      <c r="AI410" s="50"/>
      <c r="AJ410" s="50"/>
    </row>
    <row r="411" spans="1:36" ht="15" customHeight="1" x14ac:dyDescent="0.25">
      <c r="A411" s="50">
        <v>82</v>
      </c>
      <c r="B411" s="50" t="s">
        <v>924</v>
      </c>
      <c r="C411" s="50" t="s">
        <v>1352</v>
      </c>
      <c r="D411" s="50">
        <v>39</v>
      </c>
      <c r="E411" s="50" t="s">
        <v>1353</v>
      </c>
      <c r="F411" s="50">
        <v>21</v>
      </c>
      <c r="G411" s="50">
        <v>3.4</v>
      </c>
      <c r="H411" s="50">
        <v>11</v>
      </c>
      <c r="I411" s="50">
        <v>1.75</v>
      </c>
      <c r="J411" s="50">
        <v>119</v>
      </c>
      <c r="K411" s="50">
        <v>58</v>
      </c>
      <c r="L411" s="50">
        <v>3.85</v>
      </c>
      <c r="M411" s="50">
        <v>3.32</v>
      </c>
      <c r="N411" s="50">
        <v>29</v>
      </c>
      <c r="O411" s="50">
        <v>8.6999999999999993</v>
      </c>
      <c r="P411" s="50">
        <v>6.8</v>
      </c>
      <c r="Q411" s="50">
        <v>38.299999999999997</v>
      </c>
      <c r="R411" s="50">
        <v>57.4</v>
      </c>
      <c r="S411" s="50">
        <v>31.1</v>
      </c>
      <c r="T411" s="50">
        <v>78</v>
      </c>
      <c r="U411" s="50">
        <v>7.62</v>
      </c>
      <c r="V411" s="50">
        <v>66.099999999999994</v>
      </c>
      <c r="W411" s="50">
        <v>65</v>
      </c>
      <c r="X411" s="50">
        <v>504</v>
      </c>
      <c r="Y411" s="50">
        <v>11.29</v>
      </c>
      <c r="Z411" s="50">
        <v>40.200000000000003</v>
      </c>
      <c r="AA411" s="50">
        <v>6.66</v>
      </c>
      <c r="AB411" s="50"/>
      <c r="AC411" s="50"/>
      <c r="AD411" s="50"/>
      <c r="AE411" s="50"/>
      <c r="AF411" s="50"/>
      <c r="AG411" s="50"/>
      <c r="AH411" s="50"/>
      <c r="AI411" s="50"/>
      <c r="AJ411" s="50"/>
    </row>
    <row r="412" spans="1:36" ht="15" customHeight="1" x14ac:dyDescent="0.25">
      <c r="A412" s="50">
        <v>83</v>
      </c>
      <c r="B412" s="50" t="s">
        <v>924</v>
      </c>
      <c r="C412" s="50" t="s">
        <v>1352</v>
      </c>
      <c r="D412" s="50">
        <v>38</v>
      </c>
      <c r="E412" s="50" t="s">
        <v>1353</v>
      </c>
      <c r="F412" s="50">
        <v>0</v>
      </c>
      <c r="G412" s="50">
        <v>6.1</v>
      </c>
      <c r="H412" s="50">
        <v>47</v>
      </c>
      <c r="I412" s="50">
        <v>3.2</v>
      </c>
      <c r="J412" s="50">
        <v>103</v>
      </c>
      <c r="K412" s="50">
        <v>100</v>
      </c>
      <c r="L412" s="50">
        <v>5.79</v>
      </c>
      <c r="M412" s="50">
        <v>6.83</v>
      </c>
      <c r="N412" s="50">
        <v>45</v>
      </c>
      <c r="O412" s="50">
        <v>13</v>
      </c>
      <c r="P412" s="50">
        <v>13.1</v>
      </c>
      <c r="Q412" s="50">
        <v>51.8</v>
      </c>
      <c r="R412" s="50">
        <v>42.4</v>
      </c>
      <c r="S412" s="50">
        <v>21</v>
      </c>
      <c r="T412" s="50">
        <v>41</v>
      </c>
      <c r="U412" s="50">
        <v>11.66</v>
      </c>
      <c r="V412" s="50">
        <v>56.4</v>
      </c>
      <c r="W412" s="50">
        <v>46</v>
      </c>
      <c r="X412" s="50">
        <v>428</v>
      </c>
      <c r="Y412" s="50">
        <v>15.26</v>
      </c>
      <c r="Z412" s="50">
        <v>25</v>
      </c>
      <c r="AA412" s="50">
        <v>5.24</v>
      </c>
      <c r="AB412" s="50"/>
      <c r="AC412" s="50"/>
      <c r="AD412" s="50"/>
      <c r="AE412" s="50"/>
      <c r="AF412" s="50"/>
      <c r="AG412" s="50"/>
      <c r="AH412" s="50"/>
      <c r="AI412" s="50"/>
      <c r="AJ412" s="50"/>
    </row>
    <row r="413" spans="1:36" ht="15" customHeight="1" x14ac:dyDescent="0.25">
      <c r="A413" s="50">
        <v>83</v>
      </c>
      <c r="B413" s="50" t="s">
        <v>924</v>
      </c>
      <c r="C413" s="50" t="s">
        <v>1352</v>
      </c>
      <c r="D413" s="50">
        <v>38</v>
      </c>
      <c r="E413" s="50" t="s">
        <v>1353</v>
      </c>
      <c r="F413" s="50">
        <v>4</v>
      </c>
      <c r="G413" s="50">
        <v>5.7</v>
      </c>
      <c r="H413" s="50">
        <v>45</v>
      </c>
      <c r="I413" s="50">
        <v>3.01</v>
      </c>
      <c r="J413" s="50">
        <v>106</v>
      </c>
      <c r="K413" s="50">
        <v>92</v>
      </c>
      <c r="L413" s="50">
        <v>5.34</v>
      </c>
      <c r="M413" s="50">
        <v>6.08</v>
      </c>
      <c r="N413" s="50">
        <v>44</v>
      </c>
      <c r="O413" s="50">
        <v>13.7</v>
      </c>
      <c r="P413" s="50">
        <v>12.8</v>
      </c>
      <c r="Q413" s="50">
        <v>49.5</v>
      </c>
      <c r="R413" s="50">
        <v>43.4</v>
      </c>
      <c r="S413" s="50">
        <v>22.4</v>
      </c>
      <c r="T413" s="50">
        <v>42</v>
      </c>
      <c r="U413" s="50">
        <v>10.75</v>
      </c>
      <c r="V413" s="50">
        <v>57.9</v>
      </c>
      <c r="W413" s="50">
        <v>48</v>
      </c>
      <c r="X413" s="50">
        <v>431</v>
      </c>
      <c r="Y413" s="50">
        <v>14.15</v>
      </c>
      <c r="Z413" s="50">
        <v>23.2</v>
      </c>
      <c r="AA413" s="50">
        <v>5.4</v>
      </c>
      <c r="AB413" s="50"/>
      <c r="AC413" s="50"/>
      <c r="AD413" s="50"/>
      <c r="AE413" s="50"/>
      <c r="AF413" s="50"/>
      <c r="AG413" s="50"/>
      <c r="AH413" s="50"/>
      <c r="AI413" s="50"/>
      <c r="AJ413" s="50"/>
    </row>
    <row r="414" spans="1:36" ht="15" customHeight="1" x14ac:dyDescent="0.25">
      <c r="A414" s="50">
        <v>83</v>
      </c>
      <c r="B414" s="50" t="s">
        <v>924</v>
      </c>
      <c r="C414" s="50" t="s">
        <v>1352</v>
      </c>
      <c r="D414" s="50">
        <v>38</v>
      </c>
      <c r="E414" s="50" t="s">
        <v>1353</v>
      </c>
      <c r="F414" s="50">
        <v>8</v>
      </c>
      <c r="G414" s="50">
        <v>4.7</v>
      </c>
      <c r="H414" s="50">
        <v>41</v>
      </c>
      <c r="I414" s="50">
        <v>2.72</v>
      </c>
      <c r="J414" s="50">
        <v>108</v>
      </c>
      <c r="K414" s="50">
        <v>84</v>
      </c>
      <c r="L414" s="50">
        <v>4.58</v>
      </c>
      <c r="M414" s="50">
        <v>5.08</v>
      </c>
      <c r="N414" s="50">
        <v>35</v>
      </c>
      <c r="O414" s="50">
        <v>12.8</v>
      </c>
      <c r="P414" s="50">
        <v>11.3</v>
      </c>
      <c r="Q414" s="50">
        <v>43</v>
      </c>
      <c r="R414" s="50">
        <v>47.8</v>
      </c>
      <c r="S414" s="50">
        <v>29.6</v>
      </c>
      <c r="T414" s="50">
        <v>50</v>
      </c>
      <c r="U414" s="50">
        <v>8.16</v>
      </c>
      <c r="V414" s="50">
        <v>59.7</v>
      </c>
      <c r="W414" s="50">
        <v>54</v>
      </c>
      <c r="X414" s="50">
        <v>478</v>
      </c>
      <c r="Y414" s="50">
        <v>12.97</v>
      </c>
      <c r="Z414" s="50">
        <v>28.2</v>
      </c>
      <c r="AA414" s="50">
        <v>5.67</v>
      </c>
      <c r="AB414" s="50"/>
      <c r="AC414" s="50"/>
      <c r="AD414" s="50"/>
      <c r="AE414" s="50"/>
      <c r="AF414" s="50"/>
      <c r="AG414" s="50"/>
      <c r="AH414" s="50"/>
      <c r="AI414" s="50"/>
      <c r="AJ414" s="50"/>
    </row>
    <row r="415" spans="1:36" ht="15" customHeight="1" x14ac:dyDescent="0.25">
      <c r="A415" s="50">
        <v>83</v>
      </c>
      <c r="B415" s="50" t="s">
        <v>924</v>
      </c>
      <c r="C415" s="50" t="s">
        <v>1352</v>
      </c>
      <c r="D415" s="50">
        <v>38</v>
      </c>
      <c r="E415" s="50" t="s">
        <v>1353</v>
      </c>
      <c r="F415" s="50">
        <v>12</v>
      </c>
      <c r="G415" s="50">
        <v>4.3</v>
      </c>
      <c r="H415" s="50">
        <v>38</v>
      </c>
      <c r="I415" s="50">
        <v>2.42</v>
      </c>
      <c r="J415" s="50">
        <v>114</v>
      </c>
      <c r="K415" s="50">
        <v>76</v>
      </c>
      <c r="L415" s="50">
        <v>4.12</v>
      </c>
      <c r="M415" s="50">
        <v>4.33</v>
      </c>
      <c r="N415" s="50">
        <v>38</v>
      </c>
      <c r="O415" s="50">
        <v>12.5</v>
      </c>
      <c r="P415" s="50">
        <v>11.4</v>
      </c>
      <c r="Q415" s="50">
        <v>40.1</v>
      </c>
      <c r="R415" s="50">
        <v>52.4</v>
      </c>
      <c r="S415" s="50">
        <v>27.5</v>
      </c>
      <c r="T415" s="50">
        <v>56</v>
      </c>
      <c r="U415" s="50">
        <v>9.0299999999999994</v>
      </c>
      <c r="V415" s="50">
        <v>60.4</v>
      </c>
      <c r="W415" s="50">
        <v>58</v>
      </c>
      <c r="X415" s="50">
        <v>469</v>
      </c>
      <c r="Y415" s="50">
        <v>12.76</v>
      </c>
      <c r="Z415" s="50">
        <v>29.4</v>
      </c>
      <c r="AA415" s="50">
        <v>5.92</v>
      </c>
      <c r="AB415" s="50"/>
      <c r="AC415" s="50"/>
      <c r="AD415" s="50"/>
      <c r="AE415" s="50"/>
      <c r="AF415" s="50"/>
      <c r="AG415" s="50"/>
      <c r="AH415" s="50"/>
      <c r="AI415" s="50"/>
      <c r="AJ415" s="50"/>
    </row>
    <row r="416" spans="1:36" ht="15" customHeight="1" x14ac:dyDescent="0.25">
      <c r="A416" s="50">
        <v>83</v>
      </c>
      <c r="B416" s="50" t="s">
        <v>924</v>
      </c>
      <c r="C416" s="50" t="s">
        <v>1352</v>
      </c>
      <c r="D416" s="50">
        <v>38</v>
      </c>
      <c r="E416" s="50" t="s">
        <v>1353</v>
      </c>
      <c r="F416" s="50">
        <v>21</v>
      </c>
      <c r="G416" s="50">
        <v>2.6</v>
      </c>
      <c r="H416" s="50">
        <v>31</v>
      </c>
      <c r="I416" s="50">
        <v>1.73</v>
      </c>
      <c r="J416" s="50">
        <v>122</v>
      </c>
      <c r="K416" s="50">
        <v>58</v>
      </c>
      <c r="L416" s="50">
        <v>2.4</v>
      </c>
      <c r="M416" s="50">
        <v>3.11</v>
      </c>
      <c r="N416" s="50">
        <v>23</v>
      </c>
      <c r="O416" s="50">
        <v>11</v>
      </c>
      <c r="P416" s="50">
        <v>9.6</v>
      </c>
      <c r="Q416" s="50">
        <v>29.1</v>
      </c>
      <c r="R416" s="50">
        <v>63.9</v>
      </c>
      <c r="S416" s="50">
        <v>33.5</v>
      </c>
      <c r="T416" s="50">
        <v>64</v>
      </c>
      <c r="U416" s="50">
        <v>3.55</v>
      </c>
      <c r="V416" s="50">
        <v>68.400000000000006</v>
      </c>
      <c r="W416" s="50">
        <v>65</v>
      </c>
      <c r="X416" s="50">
        <v>507</v>
      </c>
      <c r="Y416" s="50">
        <v>9.67</v>
      </c>
      <c r="Z416" s="50">
        <v>35</v>
      </c>
      <c r="AA416" s="50">
        <v>6.22</v>
      </c>
      <c r="AB416" s="50"/>
      <c r="AC416" s="50"/>
      <c r="AD416" s="50"/>
      <c r="AE416" s="50"/>
      <c r="AF416" s="50"/>
      <c r="AG416" s="50"/>
      <c r="AH416" s="50"/>
      <c r="AI416" s="50"/>
      <c r="AJ416" s="50"/>
    </row>
    <row r="417" spans="1:36" ht="15" customHeight="1" x14ac:dyDescent="0.25">
      <c r="A417" s="50">
        <v>84</v>
      </c>
      <c r="B417" s="50" t="s">
        <v>924</v>
      </c>
      <c r="C417" s="50" t="s">
        <v>1352</v>
      </c>
      <c r="D417" s="50">
        <v>39</v>
      </c>
      <c r="E417" s="50" t="s">
        <v>1355</v>
      </c>
      <c r="F417" s="50">
        <v>0</v>
      </c>
      <c r="G417" s="50">
        <v>6.8</v>
      </c>
      <c r="H417" s="50">
        <v>63</v>
      </c>
      <c r="I417" s="50">
        <v>2.69</v>
      </c>
      <c r="J417" s="50">
        <v>99</v>
      </c>
      <c r="K417" s="50">
        <v>100</v>
      </c>
      <c r="L417" s="50">
        <v>6.85</v>
      </c>
      <c r="M417" s="50">
        <v>7.16</v>
      </c>
      <c r="N417" s="50">
        <v>44</v>
      </c>
      <c r="O417" s="50">
        <v>16.899999999999999</v>
      </c>
      <c r="P417" s="50">
        <v>6.6</v>
      </c>
      <c r="Q417" s="50">
        <v>53.1</v>
      </c>
      <c r="R417" s="50">
        <v>30.3</v>
      </c>
      <c r="S417" s="50">
        <v>10.5</v>
      </c>
      <c r="T417" s="50">
        <v>37</v>
      </c>
      <c r="U417" s="50">
        <v>7.46</v>
      </c>
      <c r="V417" s="50">
        <v>57</v>
      </c>
      <c r="W417" s="50">
        <v>46</v>
      </c>
      <c r="X417" s="50">
        <v>441</v>
      </c>
      <c r="Y417" s="50">
        <v>14.1</v>
      </c>
      <c r="Z417" s="50">
        <v>29.2</v>
      </c>
      <c r="AA417" s="50">
        <v>4.76</v>
      </c>
      <c r="AB417" s="50"/>
      <c r="AC417" s="50"/>
      <c r="AD417" s="50"/>
      <c r="AE417" s="50"/>
      <c r="AF417" s="50"/>
      <c r="AG417" s="50"/>
      <c r="AH417" s="50"/>
      <c r="AI417" s="50"/>
      <c r="AJ417" s="50"/>
    </row>
    <row r="418" spans="1:36" ht="15" customHeight="1" x14ac:dyDescent="0.25">
      <c r="A418" s="50">
        <v>84</v>
      </c>
      <c r="B418" s="50" t="s">
        <v>924</v>
      </c>
      <c r="C418" s="50" t="s">
        <v>1352</v>
      </c>
      <c r="D418" s="50">
        <v>39</v>
      </c>
      <c r="E418" s="50" t="s">
        <v>1355</v>
      </c>
      <c r="F418" s="50">
        <v>4</v>
      </c>
      <c r="G418" s="50">
        <v>5.8</v>
      </c>
      <c r="H418" s="50">
        <v>61</v>
      </c>
      <c r="I418" s="50">
        <v>2.35</v>
      </c>
      <c r="J418" s="50">
        <v>107</v>
      </c>
      <c r="K418" s="50">
        <v>92</v>
      </c>
      <c r="L418" s="50">
        <v>5.75</v>
      </c>
      <c r="M418" s="50">
        <v>6.08</v>
      </c>
      <c r="N418" s="50">
        <v>43</v>
      </c>
      <c r="O418" s="50">
        <v>15.3</v>
      </c>
      <c r="P418" s="50">
        <v>5.4</v>
      </c>
      <c r="Q418" s="50">
        <v>48.1</v>
      </c>
      <c r="R418" s="50">
        <v>36.9</v>
      </c>
      <c r="S418" s="50">
        <v>14.8</v>
      </c>
      <c r="T418" s="50">
        <v>42</v>
      </c>
      <c r="U418" s="50">
        <v>6.16</v>
      </c>
      <c r="V418" s="50">
        <v>59.6</v>
      </c>
      <c r="W418" s="50">
        <v>50</v>
      </c>
      <c r="X418" s="50">
        <v>464</v>
      </c>
      <c r="Y418" s="50">
        <v>13.21</v>
      </c>
      <c r="Z418" s="50">
        <v>30.4</v>
      </c>
      <c r="AA418" s="50">
        <v>5.38</v>
      </c>
      <c r="AB418" s="50"/>
      <c r="AC418" s="50"/>
      <c r="AD418" s="50"/>
      <c r="AE418" s="50"/>
      <c r="AF418" s="50"/>
      <c r="AG418" s="50"/>
      <c r="AH418" s="50"/>
      <c r="AI418" s="50"/>
      <c r="AJ418" s="50"/>
    </row>
    <row r="419" spans="1:36" ht="15" customHeight="1" x14ac:dyDescent="0.25">
      <c r="A419" s="50">
        <v>84</v>
      </c>
      <c r="B419" s="50" t="s">
        <v>924</v>
      </c>
      <c r="C419" s="50" t="s">
        <v>1352</v>
      </c>
      <c r="D419" s="50">
        <v>39</v>
      </c>
      <c r="E419" s="50" t="s">
        <v>1355</v>
      </c>
      <c r="F419" s="50">
        <v>8</v>
      </c>
      <c r="G419" s="50">
        <v>4.9000000000000004</v>
      </c>
      <c r="H419" s="50">
        <v>56</v>
      </c>
      <c r="I419" s="50">
        <v>2.21</v>
      </c>
      <c r="J419" s="50">
        <v>110</v>
      </c>
      <c r="K419" s="50">
        <v>84</v>
      </c>
      <c r="L419" s="50">
        <v>4.97</v>
      </c>
      <c r="M419" s="50">
        <v>5.52</v>
      </c>
      <c r="N419" s="50">
        <v>39</v>
      </c>
      <c r="O419" s="50">
        <v>14.2</v>
      </c>
      <c r="P419" s="50">
        <v>6</v>
      </c>
      <c r="Q419" s="50">
        <v>42.8</v>
      </c>
      <c r="R419" s="50">
        <v>44.6</v>
      </c>
      <c r="S419" s="50">
        <v>19.5</v>
      </c>
      <c r="T419" s="50">
        <v>48</v>
      </c>
      <c r="U419" s="50">
        <v>6.66</v>
      </c>
      <c r="V419" s="50">
        <v>62.1</v>
      </c>
      <c r="W419" s="50">
        <v>54</v>
      </c>
      <c r="X419" s="50">
        <v>485</v>
      </c>
      <c r="Y419" s="50">
        <v>11.62</v>
      </c>
      <c r="Z419" s="50">
        <v>35.799999999999997</v>
      </c>
      <c r="AA419" s="50">
        <v>5.56</v>
      </c>
      <c r="AB419" s="50"/>
      <c r="AC419" s="50"/>
      <c r="AD419" s="50"/>
      <c r="AE419" s="50"/>
      <c r="AF419" s="50"/>
      <c r="AG419" s="50"/>
      <c r="AH419" s="50"/>
      <c r="AI419" s="50"/>
      <c r="AJ419" s="50"/>
    </row>
    <row r="420" spans="1:36" ht="15" customHeight="1" x14ac:dyDescent="0.25">
      <c r="A420" s="50">
        <v>84</v>
      </c>
      <c r="B420" s="50" t="s">
        <v>924</v>
      </c>
      <c r="C420" s="50" t="s">
        <v>1352</v>
      </c>
      <c r="D420" s="50">
        <v>39</v>
      </c>
      <c r="E420" s="50" t="s">
        <v>1355</v>
      </c>
      <c r="F420" s="50">
        <v>12</v>
      </c>
      <c r="G420" s="50">
        <v>4.2</v>
      </c>
      <c r="H420" s="50">
        <v>54</v>
      </c>
      <c r="I420" s="50">
        <v>2.09</v>
      </c>
      <c r="J420" s="50">
        <v>110</v>
      </c>
      <c r="K420" s="50">
        <v>76</v>
      </c>
      <c r="L420" s="50">
        <v>4.41</v>
      </c>
      <c r="M420" s="50">
        <v>4.32</v>
      </c>
      <c r="N420" s="50">
        <v>38</v>
      </c>
      <c r="O420" s="50">
        <v>13</v>
      </c>
      <c r="P420" s="50">
        <v>4.9000000000000004</v>
      </c>
      <c r="Q420" s="50">
        <v>38</v>
      </c>
      <c r="R420" s="50">
        <v>50.2</v>
      </c>
      <c r="S420" s="50">
        <v>23.4</v>
      </c>
      <c r="T420" s="50">
        <v>53</v>
      </c>
      <c r="U420" s="50">
        <v>5.35</v>
      </c>
      <c r="V420" s="50">
        <v>65.400000000000006</v>
      </c>
      <c r="W420" s="50">
        <v>57</v>
      </c>
      <c r="X420" s="50">
        <v>495</v>
      </c>
      <c r="Y420" s="50">
        <v>10.45</v>
      </c>
      <c r="Z420" s="50">
        <v>35.5</v>
      </c>
      <c r="AA420" s="50">
        <v>6.24</v>
      </c>
      <c r="AB420" s="50"/>
      <c r="AC420" s="50"/>
      <c r="AD420" s="50"/>
      <c r="AE420" s="50"/>
      <c r="AF420" s="50"/>
      <c r="AG420" s="50"/>
      <c r="AH420" s="50"/>
      <c r="AI420" s="50"/>
      <c r="AJ420" s="50"/>
    </row>
    <row r="421" spans="1:36" ht="15" customHeight="1" x14ac:dyDescent="0.25">
      <c r="A421" s="50">
        <v>84</v>
      </c>
      <c r="B421" s="50" t="s">
        <v>924</v>
      </c>
      <c r="C421" s="50" t="s">
        <v>1352</v>
      </c>
      <c r="D421" s="50">
        <v>39</v>
      </c>
      <c r="E421" s="50" t="s">
        <v>1355</v>
      </c>
      <c r="F421" s="50">
        <v>21</v>
      </c>
      <c r="G421" s="50">
        <v>3</v>
      </c>
      <c r="H421" s="50">
        <v>45</v>
      </c>
      <c r="I421" s="50">
        <v>1.48</v>
      </c>
      <c r="J421" s="50">
        <v>123</v>
      </c>
      <c r="K421" s="50">
        <v>58</v>
      </c>
      <c r="L421" s="50">
        <v>2.87</v>
      </c>
      <c r="M421" s="50">
        <v>3.68</v>
      </c>
      <c r="N421" s="50">
        <v>33</v>
      </c>
      <c r="O421" s="50">
        <v>11.1</v>
      </c>
      <c r="P421" s="50">
        <v>6.7</v>
      </c>
      <c r="Q421" s="50">
        <v>28.5</v>
      </c>
      <c r="R421" s="50">
        <v>62.7</v>
      </c>
      <c r="S421" s="50">
        <v>26.7</v>
      </c>
      <c r="T421" s="50">
        <v>59</v>
      </c>
      <c r="U421" s="50">
        <v>5.71</v>
      </c>
      <c r="V421" s="50">
        <v>71.099999999999994</v>
      </c>
      <c r="W421" s="50">
        <v>60</v>
      </c>
      <c r="X421" s="50">
        <v>506</v>
      </c>
      <c r="Y421" s="50">
        <v>9.3800000000000008</v>
      </c>
      <c r="Z421" s="50">
        <v>41</v>
      </c>
      <c r="AA421" s="50">
        <v>5.7</v>
      </c>
      <c r="AB421" s="50"/>
      <c r="AC421" s="50"/>
      <c r="AD421" s="50"/>
      <c r="AE421" s="50"/>
      <c r="AF421" s="50"/>
      <c r="AG421" s="50"/>
      <c r="AH421" s="50"/>
      <c r="AI421" s="50"/>
      <c r="AJ421" s="50"/>
    </row>
    <row r="422" spans="1:36" ht="15" customHeight="1" x14ac:dyDescent="0.25">
      <c r="A422" s="50">
        <v>85</v>
      </c>
      <c r="B422" s="50" t="s">
        <v>924</v>
      </c>
      <c r="C422" s="50" t="s">
        <v>1357</v>
      </c>
      <c r="D422" s="50">
        <v>38</v>
      </c>
      <c r="E422" s="50" t="s">
        <v>1360</v>
      </c>
      <c r="F422" s="50">
        <v>0</v>
      </c>
      <c r="G422" s="50">
        <v>6.3</v>
      </c>
      <c r="H422" s="50">
        <v>38</v>
      </c>
      <c r="I422" s="50">
        <v>3.18</v>
      </c>
      <c r="J422" s="50">
        <v>117</v>
      </c>
      <c r="K422" s="50">
        <v>100</v>
      </c>
      <c r="L422" s="50">
        <v>6.92</v>
      </c>
      <c r="M422" s="50">
        <v>5.81</v>
      </c>
      <c r="N422" s="50">
        <v>62</v>
      </c>
      <c r="O422" s="50">
        <v>13.2</v>
      </c>
      <c r="P422" s="50">
        <v>16.600000000000001</v>
      </c>
      <c r="Q422" s="50">
        <v>43.8</v>
      </c>
      <c r="R422" s="50">
        <v>40.5</v>
      </c>
      <c r="S422" s="50">
        <v>10.8</v>
      </c>
      <c r="T422" s="50">
        <v>41</v>
      </c>
      <c r="U422" s="50">
        <v>10.66</v>
      </c>
      <c r="V422" s="50">
        <v>59.4</v>
      </c>
      <c r="W422" s="50">
        <v>54</v>
      </c>
      <c r="X422" s="50">
        <v>467</v>
      </c>
      <c r="Y422" s="50">
        <v>15.84</v>
      </c>
      <c r="Z422" s="50">
        <v>32.9</v>
      </c>
      <c r="AA422" s="50">
        <v>4.2</v>
      </c>
      <c r="AB422" s="50"/>
      <c r="AC422" s="50"/>
      <c r="AD422" s="50"/>
      <c r="AE422" s="50"/>
      <c r="AF422" s="50"/>
      <c r="AG422" s="50"/>
      <c r="AH422" s="50"/>
      <c r="AI422" s="50"/>
      <c r="AJ422" s="50"/>
    </row>
    <row r="423" spans="1:36" ht="15" customHeight="1" x14ac:dyDescent="0.25">
      <c r="A423" s="50">
        <v>85</v>
      </c>
      <c r="B423" s="50" t="s">
        <v>924</v>
      </c>
      <c r="C423" s="50" t="s">
        <v>1357</v>
      </c>
      <c r="D423" s="50">
        <v>38</v>
      </c>
      <c r="E423" s="50" t="s">
        <v>1360</v>
      </c>
      <c r="F423" s="50">
        <v>4</v>
      </c>
      <c r="G423" s="50">
        <v>5.7</v>
      </c>
      <c r="H423" s="50">
        <v>36</v>
      </c>
      <c r="I423" s="50">
        <v>2.75</v>
      </c>
      <c r="J423" s="50">
        <v>119</v>
      </c>
      <c r="K423" s="50">
        <v>92</v>
      </c>
      <c r="L423" s="50">
        <v>6.48</v>
      </c>
      <c r="M423" s="50">
        <v>5.19</v>
      </c>
      <c r="N423" s="50">
        <v>61</v>
      </c>
      <c r="O423" s="50">
        <v>12.3</v>
      </c>
      <c r="P423" s="50">
        <v>15</v>
      </c>
      <c r="Q423" s="50">
        <v>42.8</v>
      </c>
      <c r="R423" s="50">
        <v>45.2</v>
      </c>
      <c r="S423" s="50">
        <v>14.8</v>
      </c>
      <c r="T423" s="50">
        <v>43</v>
      </c>
      <c r="U423" s="50">
        <v>10.63</v>
      </c>
      <c r="V423" s="50">
        <v>58.6</v>
      </c>
      <c r="W423" s="50">
        <v>58</v>
      </c>
      <c r="X423" s="50">
        <v>478</v>
      </c>
      <c r="Y423" s="50">
        <v>14.85</v>
      </c>
      <c r="Z423" s="50">
        <v>34.700000000000003</v>
      </c>
      <c r="AA423" s="50">
        <v>4.58</v>
      </c>
      <c r="AB423" s="50"/>
      <c r="AC423" s="50"/>
      <c r="AD423" s="50"/>
      <c r="AE423" s="50"/>
      <c r="AF423" s="50"/>
      <c r="AG423" s="50"/>
      <c r="AH423" s="50"/>
      <c r="AI423" s="50"/>
      <c r="AJ423" s="50"/>
    </row>
    <row r="424" spans="1:36" ht="15" customHeight="1" x14ac:dyDescent="0.25">
      <c r="A424" s="50">
        <v>85</v>
      </c>
      <c r="B424" s="50" t="s">
        <v>924</v>
      </c>
      <c r="C424" s="50" t="s">
        <v>1357</v>
      </c>
      <c r="D424" s="50">
        <v>38</v>
      </c>
      <c r="E424" s="50" t="s">
        <v>1360</v>
      </c>
      <c r="F424" s="50">
        <v>8</v>
      </c>
      <c r="G424" s="50">
        <v>5.0999999999999996</v>
      </c>
      <c r="H424" s="50">
        <v>33</v>
      </c>
      <c r="I424" s="50">
        <v>2.58</v>
      </c>
      <c r="J424" s="50">
        <v>123</v>
      </c>
      <c r="K424" s="50">
        <v>84</v>
      </c>
      <c r="L424" s="50">
        <v>6</v>
      </c>
      <c r="M424" s="50">
        <v>4.53</v>
      </c>
      <c r="N424" s="50">
        <v>56</v>
      </c>
      <c r="O424" s="50">
        <v>11.2</v>
      </c>
      <c r="P424" s="50">
        <v>13.8</v>
      </c>
      <c r="Q424" s="50">
        <v>36.200000000000003</v>
      </c>
      <c r="R424" s="50">
        <v>45.4</v>
      </c>
      <c r="S424" s="50">
        <v>16.399999999999999</v>
      </c>
      <c r="T424" s="50">
        <v>47</v>
      </c>
      <c r="U424" s="50">
        <v>9.14</v>
      </c>
      <c r="V424" s="50">
        <v>60.4</v>
      </c>
      <c r="W424" s="50">
        <v>63</v>
      </c>
      <c r="X424" s="50">
        <v>492</v>
      </c>
      <c r="Y424" s="50">
        <v>13.57</v>
      </c>
      <c r="Z424" s="50">
        <v>35.5</v>
      </c>
      <c r="AA424" s="50">
        <v>5.0599999999999996</v>
      </c>
      <c r="AB424" s="50"/>
      <c r="AC424" s="50"/>
      <c r="AD424" s="50"/>
      <c r="AE424" s="50"/>
      <c r="AF424" s="50"/>
      <c r="AG424" s="50"/>
      <c r="AH424" s="50"/>
      <c r="AI424" s="50"/>
      <c r="AJ424" s="50"/>
    </row>
    <row r="425" spans="1:36" ht="15" customHeight="1" x14ac:dyDescent="0.25">
      <c r="A425" s="50">
        <v>85</v>
      </c>
      <c r="B425" s="50" t="s">
        <v>924</v>
      </c>
      <c r="C425" s="50" t="s">
        <v>1357</v>
      </c>
      <c r="D425" s="50">
        <v>38</v>
      </c>
      <c r="E425" s="50" t="s">
        <v>1360</v>
      </c>
      <c r="F425" s="50">
        <v>12</v>
      </c>
      <c r="G425" s="50">
        <v>4.2</v>
      </c>
      <c r="H425" s="50">
        <v>29</v>
      </c>
      <c r="I425" s="50">
        <v>2.2999999999999998</v>
      </c>
      <c r="J425" s="50">
        <v>129</v>
      </c>
      <c r="K425" s="50">
        <v>76</v>
      </c>
      <c r="L425" s="50">
        <v>5.25</v>
      </c>
      <c r="M425" s="50">
        <v>3.96</v>
      </c>
      <c r="N425" s="50">
        <v>48</v>
      </c>
      <c r="O425" s="50">
        <v>10.5</v>
      </c>
      <c r="P425" s="50">
        <v>12.8</v>
      </c>
      <c r="Q425" s="50">
        <v>34</v>
      </c>
      <c r="R425" s="50">
        <v>50.7</v>
      </c>
      <c r="S425" s="50">
        <v>19.2</v>
      </c>
      <c r="T425" s="50">
        <v>57</v>
      </c>
      <c r="U425" s="50">
        <v>8.4700000000000006</v>
      </c>
      <c r="V425" s="50">
        <v>63.1</v>
      </c>
      <c r="W425" s="50">
        <v>70</v>
      </c>
      <c r="X425" s="50">
        <v>483</v>
      </c>
      <c r="Y425" s="50">
        <v>13.1</v>
      </c>
      <c r="Z425" s="50">
        <v>35</v>
      </c>
      <c r="AA425" s="50">
        <v>5.62</v>
      </c>
      <c r="AB425" s="50"/>
      <c r="AC425" s="50"/>
      <c r="AD425" s="50"/>
      <c r="AE425" s="50"/>
      <c r="AF425" s="50"/>
      <c r="AG425" s="50"/>
      <c r="AH425" s="50"/>
      <c r="AI425" s="50"/>
      <c r="AJ425" s="50"/>
    </row>
    <row r="426" spans="1:36" ht="15" customHeight="1" x14ac:dyDescent="0.25">
      <c r="A426" s="50">
        <v>85</v>
      </c>
      <c r="B426" s="50" t="s">
        <v>924</v>
      </c>
      <c r="C426" s="50" t="s">
        <v>1357</v>
      </c>
      <c r="D426" s="50">
        <v>38</v>
      </c>
      <c r="E426" s="50" t="s">
        <v>1360</v>
      </c>
      <c r="F426" s="50">
        <v>21</v>
      </c>
      <c r="G426" s="50">
        <v>2.9</v>
      </c>
      <c r="H426" s="50">
        <v>18</v>
      </c>
      <c r="I426" s="50">
        <v>1.79</v>
      </c>
      <c r="J426" s="50">
        <v>138</v>
      </c>
      <c r="K426" s="50">
        <v>58</v>
      </c>
      <c r="L426" s="50">
        <v>3.82</v>
      </c>
      <c r="M426" s="50">
        <v>2.74</v>
      </c>
      <c r="N426" s="50">
        <v>39</v>
      </c>
      <c r="O426" s="50">
        <v>8.6999999999999993</v>
      </c>
      <c r="P426" s="50">
        <v>8.1</v>
      </c>
      <c r="Q426" s="50">
        <v>26.2</v>
      </c>
      <c r="R426" s="50">
        <v>56.1</v>
      </c>
      <c r="S426" s="50">
        <v>25.4</v>
      </c>
      <c r="T426" s="50">
        <v>59</v>
      </c>
      <c r="U426" s="50">
        <v>7.16</v>
      </c>
      <c r="V426" s="50">
        <v>66.7</v>
      </c>
      <c r="W426" s="50">
        <v>72</v>
      </c>
      <c r="X426" s="50">
        <v>516</v>
      </c>
      <c r="Y426" s="50">
        <v>11</v>
      </c>
      <c r="Z426" s="50">
        <v>38.4</v>
      </c>
      <c r="AA426" s="50">
        <v>5.91</v>
      </c>
      <c r="AB426" s="50"/>
      <c r="AC426" s="50"/>
      <c r="AD426" s="50"/>
      <c r="AE426" s="50"/>
      <c r="AF426" s="50"/>
      <c r="AG426" s="50"/>
      <c r="AH426" s="50"/>
      <c r="AI426" s="50"/>
      <c r="AJ426" s="50"/>
    </row>
    <row r="427" spans="1:36" ht="15" customHeight="1" x14ac:dyDescent="0.25">
      <c r="A427" s="50">
        <v>86</v>
      </c>
      <c r="B427" s="50" t="s">
        <v>924</v>
      </c>
      <c r="C427" s="50" t="s">
        <v>1352</v>
      </c>
      <c r="D427" s="50">
        <v>41</v>
      </c>
      <c r="E427" s="50" t="s">
        <v>1353</v>
      </c>
      <c r="F427" s="50">
        <v>0</v>
      </c>
      <c r="G427" s="50">
        <v>7.1</v>
      </c>
      <c r="H427" s="50">
        <v>49</v>
      </c>
      <c r="I427" s="50">
        <v>4.17</v>
      </c>
      <c r="J427" s="50">
        <v>89</v>
      </c>
      <c r="K427" s="50">
        <v>100</v>
      </c>
      <c r="L427" s="50">
        <v>6.07</v>
      </c>
      <c r="M427" s="50">
        <v>7.14</v>
      </c>
      <c r="N427" s="50">
        <v>56</v>
      </c>
      <c r="O427" s="50">
        <v>7.9</v>
      </c>
      <c r="P427" s="50">
        <v>8.6</v>
      </c>
      <c r="Q427" s="50">
        <v>46.2</v>
      </c>
      <c r="R427" s="50">
        <v>39.799999999999997</v>
      </c>
      <c r="S427" s="50">
        <v>23.4</v>
      </c>
      <c r="T427" s="50">
        <v>44</v>
      </c>
      <c r="U427" s="50">
        <v>10.44</v>
      </c>
      <c r="V427" s="50">
        <v>60</v>
      </c>
      <c r="W427" s="50">
        <v>32</v>
      </c>
      <c r="X427" s="50">
        <v>219</v>
      </c>
      <c r="Y427" s="50">
        <v>17.12</v>
      </c>
      <c r="Z427" s="50">
        <v>22.2</v>
      </c>
      <c r="AA427" s="50">
        <v>4.0999999999999996</v>
      </c>
      <c r="AB427" s="50"/>
      <c r="AC427" s="50"/>
      <c r="AD427" s="50"/>
      <c r="AE427" s="50"/>
      <c r="AF427" s="50"/>
      <c r="AG427" s="50"/>
      <c r="AH427" s="50"/>
      <c r="AI427" s="50"/>
      <c r="AJ427" s="50"/>
    </row>
    <row r="428" spans="1:36" ht="15" customHeight="1" x14ac:dyDescent="0.25">
      <c r="A428" s="50">
        <v>86</v>
      </c>
      <c r="B428" s="50" t="s">
        <v>924</v>
      </c>
      <c r="C428" s="50" t="s">
        <v>1352</v>
      </c>
      <c r="D428" s="50">
        <v>41</v>
      </c>
      <c r="E428" s="50" t="s">
        <v>1353</v>
      </c>
      <c r="F428" s="50">
        <v>4</v>
      </c>
      <c r="G428" s="50">
        <v>6.2</v>
      </c>
      <c r="H428" s="50">
        <v>47</v>
      </c>
      <c r="I428" s="50">
        <v>3.66</v>
      </c>
      <c r="J428" s="50">
        <v>95</v>
      </c>
      <c r="K428" s="50">
        <v>92</v>
      </c>
      <c r="L428" s="50">
        <v>5.93</v>
      </c>
      <c r="M428" s="50">
        <v>6.39</v>
      </c>
      <c r="N428" s="50">
        <v>50</v>
      </c>
      <c r="O428" s="50">
        <v>8.1</v>
      </c>
      <c r="P428" s="50">
        <v>8.1999999999999993</v>
      </c>
      <c r="Q428" s="50">
        <v>44.4</v>
      </c>
      <c r="R428" s="50">
        <v>43.3</v>
      </c>
      <c r="S428" s="50">
        <v>24</v>
      </c>
      <c r="T428" s="50">
        <v>47</v>
      </c>
      <c r="U428" s="50">
        <v>9.9499999999999993</v>
      </c>
      <c r="V428" s="50">
        <v>62.4</v>
      </c>
      <c r="W428" s="50">
        <v>38</v>
      </c>
      <c r="X428" s="50">
        <v>259</v>
      </c>
      <c r="Y428" s="50">
        <v>15.81</v>
      </c>
      <c r="Z428" s="50">
        <v>27.6</v>
      </c>
      <c r="AA428" s="50">
        <v>4.46</v>
      </c>
      <c r="AB428" s="50"/>
      <c r="AC428" s="50"/>
      <c r="AD428" s="50"/>
      <c r="AE428" s="50"/>
      <c r="AF428" s="50"/>
      <c r="AG428" s="50"/>
      <c r="AH428" s="50"/>
      <c r="AI428" s="50"/>
      <c r="AJ428" s="50"/>
    </row>
    <row r="429" spans="1:36" ht="15" customHeight="1" x14ac:dyDescent="0.25">
      <c r="A429" s="50">
        <v>86</v>
      </c>
      <c r="B429" s="50" t="s">
        <v>924</v>
      </c>
      <c r="C429" s="50" t="s">
        <v>1352</v>
      </c>
      <c r="D429" s="50">
        <v>41</v>
      </c>
      <c r="E429" s="50" t="s">
        <v>1353</v>
      </c>
      <c r="F429" s="50">
        <v>8</v>
      </c>
      <c r="G429" s="50">
        <v>5.6</v>
      </c>
      <c r="H429" s="50">
        <v>44</v>
      </c>
      <c r="I429" s="50">
        <v>3.3</v>
      </c>
      <c r="J429" s="50">
        <v>104</v>
      </c>
      <c r="K429" s="50">
        <v>84</v>
      </c>
      <c r="L429" s="50">
        <v>5.38</v>
      </c>
      <c r="M429" s="50">
        <v>5.89</v>
      </c>
      <c r="N429" s="50">
        <v>49</v>
      </c>
      <c r="O429" s="50">
        <v>8.6</v>
      </c>
      <c r="P429" s="50">
        <v>9</v>
      </c>
      <c r="Q429" s="50">
        <v>43.6</v>
      </c>
      <c r="R429" s="50">
        <v>49.9</v>
      </c>
      <c r="S429" s="50">
        <v>27.2</v>
      </c>
      <c r="T429" s="50">
        <v>51</v>
      </c>
      <c r="U429" s="50">
        <v>7.87</v>
      </c>
      <c r="V429" s="50">
        <v>61.3</v>
      </c>
      <c r="W429" s="50">
        <v>39</v>
      </c>
      <c r="X429" s="50">
        <v>295</v>
      </c>
      <c r="Y429" s="50">
        <v>14.83</v>
      </c>
      <c r="Z429" s="50">
        <v>27.3</v>
      </c>
      <c r="AA429" s="50">
        <v>4.91</v>
      </c>
      <c r="AB429" s="50"/>
      <c r="AC429" s="50"/>
      <c r="AD429" s="50"/>
      <c r="AE429" s="50"/>
      <c r="AF429" s="50"/>
      <c r="AG429" s="50"/>
      <c r="AH429" s="50"/>
      <c r="AI429" s="50"/>
      <c r="AJ429" s="50"/>
    </row>
    <row r="430" spans="1:36" ht="15" customHeight="1" x14ac:dyDescent="0.25">
      <c r="A430" s="50">
        <v>86</v>
      </c>
      <c r="B430" s="50" t="s">
        <v>924</v>
      </c>
      <c r="C430" s="50" t="s">
        <v>1352</v>
      </c>
      <c r="D430" s="50">
        <v>41</v>
      </c>
      <c r="E430" s="50" t="s">
        <v>1353</v>
      </c>
      <c r="F430" s="50">
        <v>12</v>
      </c>
      <c r="G430" s="50">
        <v>4.9000000000000004</v>
      </c>
      <c r="H430" s="50">
        <v>44</v>
      </c>
      <c r="I430" s="50">
        <v>2.98</v>
      </c>
      <c r="J430" s="50">
        <v>106</v>
      </c>
      <c r="K430" s="50">
        <v>76</v>
      </c>
      <c r="L430" s="50">
        <v>4.7699999999999996</v>
      </c>
      <c r="M430" s="50">
        <v>5.43</v>
      </c>
      <c r="N430" s="50">
        <v>46</v>
      </c>
      <c r="O430" s="50">
        <v>8.8000000000000007</v>
      </c>
      <c r="P430" s="50">
        <v>8</v>
      </c>
      <c r="Q430" s="50">
        <v>43.3</v>
      </c>
      <c r="R430" s="50">
        <v>51.3</v>
      </c>
      <c r="S430" s="50">
        <v>29.3</v>
      </c>
      <c r="T430" s="50">
        <v>56</v>
      </c>
      <c r="U430" s="50">
        <v>7.14</v>
      </c>
      <c r="V430" s="50">
        <v>62.5</v>
      </c>
      <c r="W430" s="50">
        <v>45</v>
      </c>
      <c r="X430" s="50">
        <v>345</v>
      </c>
      <c r="Y430" s="50">
        <v>14.25</v>
      </c>
      <c r="Z430" s="50">
        <v>29.6</v>
      </c>
      <c r="AA430" s="50">
        <v>4.96</v>
      </c>
      <c r="AB430" s="50"/>
      <c r="AC430" s="50"/>
      <c r="AD430" s="50"/>
      <c r="AE430" s="50"/>
      <c r="AF430" s="50"/>
      <c r="AG430" s="50"/>
      <c r="AH430" s="50"/>
      <c r="AI430" s="50"/>
      <c r="AJ430" s="50"/>
    </row>
    <row r="431" spans="1:36" ht="15" customHeight="1" x14ac:dyDescent="0.25">
      <c r="A431" s="50">
        <v>86</v>
      </c>
      <c r="B431" s="50" t="s">
        <v>924</v>
      </c>
      <c r="C431" s="50" t="s">
        <v>1352</v>
      </c>
      <c r="D431" s="50">
        <v>41</v>
      </c>
      <c r="E431" s="50" t="s">
        <v>1353</v>
      </c>
      <c r="F431" s="50">
        <v>21</v>
      </c>
      <c r="G431" s="50">
        <v>3.3</v>
      </c>
      <c r="H431" s="50">
        <v>34</v>
      </c>
      <c r="I431" s="50">
        <v>2.2799999999999998</v>
      </c>
      <c r="J431" s="50">
        <v>113</v>
      </c>
      <c r="K431" s="50">
        <v>58</v>
      </c>
      <c r="L431" s="50">
        <v>3.57</v>
      </c>
      <c r="M431" s="50">
        <v>3.86</v>
      </c>
      <c r="N431" s="50">
        <v>36</v>
      </c>
      <c r="O431" s="50">
        <v>8.5</v>
      </c>
      <c r="P431" s="50">
        <v>7.1</v>
      </c>
      <c r="Q431" s="50">
        <v>37</v>
      </c>
      <c r="R431" s="50">
        <v>58.7</v>
      </c>
      <c r="S431" s="50">
        <v>34.9</v>
      </c>
      <c r="T431" s="50">
        <v>67</v>
      </c>
      <c r="U431" s="50">
        <v>7.67</v>
      </c>
      <c r="V431" s="50">
        <v>66.900000000000006</v>
      </c>
      <c r="W431" s="50">
        <v>56</v>
      </c>
      <c r="X431" s="50">
        <v>435</v>
      </c>
      <c r="Y431" s="50">
        <v>11.85</v>
      </c>
      <c r="Z431" s="50">
        <v>33.700000000000003</v>
      </c>
      <c r="AA431" s="50">
        <v>5.54</v>
      </c>
      <c r="AB431" s="50"/>
      <c r="AC431" s="50"/>
      <c r="AD431" s="50"/>
      <c r="AE431" s="50"/>
      <c r="AF431" s="50"/>
      <c r="AG431" s="50"/>
      <c r="AH431" s="50"/>
      <c r="AI431" s="50"/>
      <c r="AJ431" s="50"/>
    </row>
    <row r="432" spans="1:36" ht="15" customHeight="1" x14ac:dyDescent="0.25">
      <c r="A432" s="50">
        <v>87</v>
      </c>
      <c r="B432" s="50" t="s">
        <v>924</v>
      </c>
      <c r="C432" s="50" t="s">
        <v>1352</v>
      </c>
      <c r="D432" s="50">
        <v>25</v>
      </c>
      <c r="E432" s="50" t="s">
        <v>1359</v>
      </c>
      <c r="F432" s="50">
        <v>0</v>
      </c>
      <c r="G432" s="50">
        <v>6.9</v>
      </c>
      <c r="H432" s="50">
        <v>38</v>
      </c>
      <c r="I432" s="50">
        <v>3.05</v>
      </c>
      <c r="J432" s="50">
        <v>94</v>
      </c>
      <c r="K432" s="50">
        <v>100</v>
      </c>
      <c r="L432" s="50">
        <v>6.65</v>
      </c>
      <c r="M432" s="50">
        <v>6.87</v>
      </c>
      <c r="N432" s="50">
        <v>52</v>
      </c>
      <c r="O432" s="50">
        <v>14.6</v>
      </c>
      <c r="P432" s="50">
        <v>14.6</v>
      </c>
      <c r="Q432" s="50">
        <v>44.4</v>
      </c>
      <c r="R432" s="50">
        <v>38.4</v>
      </c>
      <c r="S432" s="50">
        <v>14.6</v>
      </c>
      <c r="T432" s="50">
        <v>45</v>
      </c>
      <c r="U432" s="50">
        <v>6.15</v>
      </c>
      <c r="V432" s="50">
        <v>60.1</v>
      </c>
      <c r="W432" s="50">
        <v>54</v>
      </c>
      <c r="X432" s="50">
        <v>330</v>
      </c>
      <c r="Y432" s="50">
        <v>14.37</v>
      </c>
      <c r="Z432" s="50">
        <v>18.899999999999999</v>
      </c>
      <c r="AA432" s="50">
        <v>5.71</v>
      </c>
      <c r="AB432" s="50"/>
      <c r="AC432" s="50"/>
      <c r="AD432" s="50"/>
      <c r="AE432" s="50"/>
      <c r="AF432" s="50"/>
      <c r="AG432" s="50"/>
      <c r="AH432" s="50"/>
      <c r="AI432" s="50"/>
      <c r="AJ432" s="50"/>
    </row>
    <row r="433" spans="1:36" ht="15" customHeight="1" x14ac:dyDescent="0.25">
      <c r="A433" s="50">
        <v>87</v>
      </c>
      <c r="B433" s="50" t="s">
        <v>924</v>
      </c>
      <c r="C433" s="50" t="s">
        <v>1352</v>
      </c>
      <c r="D433" s="50">
        <v>25</v>
      </c>
      <c r="E433" s="50" t="s">
        <v>1359</v>
      </c>
      <c r="F433" s="50">
        <v>4</v>
      </c>
      <c r="G433" s="50">
        <v>6.1</v>
      </c>
      <c r="H433" s="50">
        <v>35</v>
      </c>
      <c r="I433" s="50">
        <v>2.71</v>
      </c>
      <c r="J433" s="50">
        <v>99</v>
      </c>
      <c r="K433" s="50">
        <v>92</v>
      </c>
      <c r="L433" s="50">
        <v>5.97</v>
      </c>
      <c r="M433" s="50">
        <v>6.29</v>
      </c>
      <c r="N433" s="50">
        <v>47</v>
      </c>
      <c r="O433" s="50">
        <v>13.9</v>
      </c>
      <c r="P433" s="50">
        <v>13.1</v>
      </c>
      <c r="Q433" s="50">
        <v>43.4</v>
      </c>
      <c r="R433" s="50">
        <v>43.2</v>
      </c>
      <c r="S433" s="50">
        <v>22.7</v>
      </c>
      <c r="T433" s="50">
        <v>48</v>
      </c>
      <c r="U433" s="50">
        <v>6.09</v>
      </c>
      <c r="V433" s="50">
        <v>61.9</v>
      </c>
      <c r="W433" s="50">
        <v>55</v>
      </c>
      <c r="X433" s="50">
        <v>356</v>
      </c>
      <c r="Y433" s="50">
        <v>14.06</v>
      </c>
      <c r="Z433" s="50">
        <v>22.8</v>
      </c>
      <c r="AA433" s="50">
        <v>6.01</v>
      </c>
      <c r="AB433" s="50"/>
      <c r="AC433" s="50"/>
      <c r="AD433" s="50"/>
      <c r="AE433" s="50"/>
      <c r="AF433" s="50"/>
      <c r="AG433" s="50"/>
      <c r="AH433" s="50"/>
      <c r="AI433" s="50"/>
      <c r="AJ433" s="50"/>
    </row>
    <row r="434" spans="1:36" ht="15" customHeight="1" x14ac:dyDescent="0.25">
      <c r="A434" s="50">
        <v>87</v>
      </c>
      <c r="B434" s="50" t="s">
        <v>924</v>
      </c>
      <c r="C434" s="50" t="s">
        <v>1352</v>
      </c>
      <c r="D434" s="50">
        <v>25</v>
      </c>
      <c r="E434" s="50" t="s">
        <v>1359</v>
      </c>
      <c r="F434" s="50">
        <v>8</v>
      </c>
      <c r="G434" s="50">
        <v>5.6</v>
      </c>
      <c r="H434" s="50">
        <v>34</v>
      </c>
      <c r="I434" s="50">
        <v>2.4300000000000002</v>
      </c>
      <c r="J434" s="50">
        <v>96</v>
      </c>
      <c r="K434" s="50">
        <v>84</v>
      </c>
      <c r="L434" s="50">
        <v>5.53</v>
      </c>
      <c r="M434" s="50">
        <v>5.8</v>
      </c>
      <c r="N434" s="50">
        <v>44</v>
      </c>
      <c r="O434" s="50">
        <v>12.9</v>
      </c>
      <c r="P434" s="50">
        <v>12</v>
      </c>
      <c r="Q434" s="50">
        <v>38.4</v>
      </c>
      <c r="R434" s="50">
        <v>43.5</v>
      </c>
      <c r="S434" s="50">
        <v>23.1</v>
      </c>
      <c r="T434" s="50">
        <v>51</v>
      </c>
      <c r="U434" s="50">
        <v>5.73</v>
      </c>
      <c r="V434" s="50">
        <v>63.2</v>
      </c>
      <c r="W434" s="50">
        <v>57</v>
      </c>
      <c r="X434" s="50">
        <v>371</v>
      </c>
      <c r="Y434" s="50">
        <v>13.59</v>
      </c>
      <c r="Z434" s="50">
        <v>24.7</v>
      </c>
      <c r="AA434" s="50">
        <v>5.85</v>
      </c>
      <c r="AB434" s="50"/>
      <c r="AC434" s="50"/>
      <c r="AD434" s="50"/>
      <c r="AE434" s="50"/>
      <c r="AF434" s="50"/>
      <c r="AG434" s="50"/>
      <c r="AH434" s="50"/>
      <c r="AI434" s="50"/>
      <c r="AJ434" s="50"/>
    </row>
    <row r="435" spans="1:36" ht="15" customHeight="1" x14ac:dyDescent="0.25">
      <c r="A435" s="50">
        <v>87</v>
      </c>
      <c r="B435" s="50" t="s">
        <v>924</v>
      </c>
      <c r="C435" s="50" t="s">
        <v>1352</v>
      </c>
      <c r="D435" s="50">
        <v>25</v>
      </c>
      <c r="E435" s="50" t="s">
        <v>1359</v>
      </c>
      <c r="F435" s="50">
        <v>12</v>
      </c>
      <c r="G435" s="50">
        <v>4.9000000000000004</v>
      </c>
      <c r="H435" s="50">
        <v>29</v>
      </c>
      <c r="I435" s="50">
        <v>2.23</v>
      </c>
      <c r="J435" s="50">
        <v>109</v>
      </c>
      <c r="K435" s="50">
        <v>76</v>
      </c>
      <c r="L435" s="50">
        <v>5</v>
      </c>
      <c r="M435" s="50">
        <v>5.2</v>
      </c>
      <c r="N435" s="50">
        <v>41</v>
      </c>
      <c r="O435" s="50">
        <v>13.1</v>
      </c>
      <c r="P435" s="50">
        <v>12.2</v>
      </c>
      <c r="Q435" s="50">
        <v>36.6</v>
      </c>
      <c r="R435" s="50">
        <v>46.8</v>
      </c>
      <c r="S435" s="50">
        <v>28.2</v>
      </c>
      <c r="T435" s="50">
        <v>59</v>
      </c>
      <c r="U435" s="50">
        <v>4.46</v>
      </c>
      <c r="V435" s="50">
        <v>65.3</v>
      </c>
      <c r="W435" s="50">
        <v>59</v>
      </c>
      <c r="X435" s="50">
        <v>402</v>
      </c>
      <c r="Y435" s="50">
        <v>13.04</v>
      </c>
      <c r="Z435" s="50">
        <v>27.2</v>
      </c>
      <c r="AA435" s="50">
        <v>5.76</v>
      </c>
      <c r="AB435" s="50"/>
      <c r="AC435" s="50"/>
      <c r="AD435" s="50"/>
      <c r="AE435" s="50"/>
      <c r="AF435" s="50"/>
      <c r="AG435" s="50"/>
      <c r="AH435" s="50"/>
      <c r="AI435" s="50"/>
      <c r="AJ435" s="50"/>
    </row>
    <row r="436" spans="1:36" ht="15" customHeight="1" x14ac:dyDescent="0.25">
      <c r="A436" s="50">
        <v>87</v>
      </c>
      <c r="B436" s="50" t="s">
        <v>924</v>
      </c>
      <c r="C436" s="50" t="s">
        <v>1352</v>
      </c>
      <c r="D436" s="50">
        <v>25</v>
      </c>
      <c r="E436" s="50" t="s">
        <v>1359</v>
      </c>
      <c r="F436" s="50">
        <v>21</v>
      </c>
      <c r="G436" s="50">
        <v>3.5</v>
      </c>
      <c r="H436" s="50">
        <v>21</v>
      </c>
      <c r="I436" s="50">
        <v>1.62</v>
      </c>
      <c r="J436" s="50">
        <v>119</v>
      </c>
      <c r="K436" s="50">
        <v>58</v>
      </c>
      <c r="L436" s="50">
        <v>3.62</v>
      </c>
      <c r="M436" s="50">
        <v>4</v>
      </c>
      <c r="N436" s="50">
        <v>32</v>
      </c>
      <c r="O436" s="50">
        <v>11.3</v>
      </c>
      <c r="P436" s="50">
        <v>10.5</v>
      </c>
      <c r="Q436" s="50">
        <v>29.6</v>
      </c>
      <c r="R436" s="50">
        <v>56.5</v>
      </c>
      <c r="S436" s="50">
        <v>34.799999999999997</v>
      </c>
      <c r="T436" s="50">
        <v>59</v>
      </c>
      <c r="U436" s="50">
        <v>5.01</v>
      </c>
      <c r="V436" s="50">
        <v>67.900000000000006</v>
      </c>
      <c r="W436" s="50">
        <v>68</v>
      </c>
      <c r="X436" s="50">
        <v>485</v>
      </c>
      <c r="Y436" s="50">
        <v>11.54</v>
      </c>
      <c r="Z436" s="50">
        <v>35.1</v>
      </c>
      <c r="AA436" s="50">
        <v>6.59</v>
      </c>
      <c r="AB436" s="50"/>
      <c r="AC436" s="50"/>
      <c r="AD436" s="50"/>
      <c r="AE436" s="50"/>
      <c r="AF436" s="50"/>
      <c r="AG436" s="50"/>
      <c r="AH436" s="50"/>
      <c r="AI436" s="50"/>
      <c r="AJ436" s="50"/>
    </row>
    <row r="437" spans="1:36" ht="15" customHeight="1" x14ac:dyDescent="0.25">
      <c r="A437" s="50">
        <v>88</v>
      </c>
      <c r="B437" s="50" t="s">
        <v>924</v>
      </c>
      <c r="C437" s="50" t="s">
        <v>1352</v>
      </c>
      <c r="D437" s="50">
        <v>31</v>
      </c>
      <c r="E437" s="50" t="s">
        <v>1353</v>
      </c>
      <c r="F437" s="50">
        <v>0</v>
      </c>
      <c r="G437" s="50">
        <v>6.5</v>
      </c>
      <c r="H437" s="50">
        <v>37</v>
      </c>
      <c r="I437" s="50">
        <v>3.75</v>
      </c>
      <c r="J437" s="50">
        <v>83</v>
      </c>
      <c r="K437" s="50">
        <v>100</v>
      </c>
      <c r="L437" s="50">
        <v>5.35</v>
      </c>
      <c r="M437" s="50">
        <v>6.99</v>
      </c>
      <c r="N437" s="50">
        <v>49</v>
      </c>
      <c r="O437" s="50">
        <v>15.3</v>
      </c>
      <c r="P437" s="50">
        <v>10.3</v>
      </c>
      <c r="Q437" s="50">
        <v>53.2</v>
      </c>
      <c r="R437" s="50">
        <v>43.4</v>
      </c>
      <c r="S437" s="50">
        <v>21</v>
      </c>
      <c r="T437" s="50">
        <v>35</v>
      </c>
      <c r="U437" s="50">
        <v>14.24</v>
      </c>
      <c r="V437" s="50">
        <v>52.1</v>
      </c>
      <c r="W437" s="50">
        <v>48</v>
      </c>
      <c r="X437" s="50">
        <v>356</v>
      </c>
      <c r="Y437" s="50">
        <v>13.79</v>
      </c>
      <c r="Z437" s="50">
        <v>35.1</v>
      </c>
      <c r="AA437" s="50">
        <v>4.83</v>
      </c>
      <c r="AB437" s="50"/>
      <c r="AC437" s="50"/>
      <c r="AD437" s="50"/>
      <c r="AE437" s="50"/>
      <c r="AF437" s="50"/>
      <c r="AG437" s="50"/>
      <c r="AH437" s="50"/>
      <c r="AI437" s="50"/>
      <c r="AJ437" s="50"/>
    </row>
    <row r="438" spans="1:36" ht="15" customHeight="1" x14ac:dyDescent="0.25">
      <c r="A438" s="50">
        <v>88</v>
      </c>
      <c r="B438" s="50" t="s">
        <v>924</v>
      </c>
      <c r="C438" s="50" t="s">
        <v>1352</v>
      </c>
      <c r="D438" s="50">
        <v>31</v>
      </c>
      <c r="E438" s="50" t="s">
        <v>1353</v>
      </c>
      <c r="F438" s="50">
        <v>4</v>
      </c>
      <c r="G438" s="50">
        <v>5.9</v>
      </c>
      <c r="H438" s="50">
        <v>33</v>
      </c>
      <c r="I438" s="50">
        <v>3.48</v>
      </c>
      <c r="J438" s="50">
        <v>89</v>
      </c>
      <c r="K438" s="50">
        <v>92</v>
      </c>
      <c r="L438" s="50">
        <v>4.93</v>
      </c>
      <c r="M438" s="50">
        <v>6.44</v>
      </c>
      <c r="N438" s="50">
        <v>47</v>
      </c>
      <c r="O438" s="50">
        <v>14</v>
      </c>
      <c r="P438" s="50">
        <v>9</v>
      </c>
      <c r="Q438" s="50">
        <v>49.6</v>
      </c>
      <c r="R438" s="50">
        <v>45.8</v>
      </c>
      <c r="S438" s="50">
        <v>21.4</v>
      </c>
      <c r="T438" s="50">
        <v>39</v>
      </c>
      <c r="U438" s="50">
        <v>13.04</v>
      </c>
      <c r="V438" s="50">
        <v>53.8</v>
      </c>
      <c r="W438" s="50">
        <v>49</v>
      </c>
      <c r="X438" s="50">
        <v>379</v>
      </c>
      <c r="Y438" s="50">
        <v>13.22</v>
      </c>
      <c r="Z438" s="50">
        <v>37.1</v>
      </c>
      <c r="AA438" s="50">
        <v>4.8600000000000003</v>
      </c>
      <c r="AB438" s="50"/>
      <c r="AC438" s="50"/>
      <c r="AD438" s="50"/>
      <c r="AE438" s="50"/>
      <c r="AF438" s="50"/>
      <c r="AG438" s="50"/>
      <c r="AH438" s="50"/>
      <c r="AI438" s="50"/>
      <c r="AJ438" s="50"/>
    </row>
    <row r="439" spans="1:36" ht="15" customHeight="1" x14ac:dyDescent="0.25">
      <c r="A439" s="50">
        <v>88</v>
      </c>
      <c r="B439" s="50" t="s">
        <v>924</v>
      </c>
      <c r="C439" s="50" t="s">
        <v>1352</v>
      </c>
      <c r="D439" s="50">
        <v>31</v>
      </c>
      <c r="E439" s="50" t="s">
        <v>1353</v>
      </c>
      <c r="F439" s="50">
        <v>8</v>
      </c>
      <c r="G439" s="50">
        <v>5.2</v>
      </c>
      <c r="H439" s="50">
        <v>30</v>
      </c>
      <c r="I439" s="50">
        <v>3.14</v>
      </c>
      <c r="J439" s="50">
        <v>96</v>
      </c>
      <c r="K439" s="50">
        <v>84</v>
      </c>
      <c r="L439" s="50">
        <v>4.45</v>
      </c>
      <c r="M439" s="50">
        <v>5.99</v>
      </c>
      <c r="N439" s="50">
        <v>47</v>
      </c>
      <c r="O439" s="50">
        <v>14.7</v>
      </c>
      <c r="P439" s="50">
        <v>8.9</v>
      </c>
      <c r="Q439" s="50">
        <v>44.7</v>
      </c>
      <c r="R439" s="50">
        <v>47.7</v>
      </c>
      <c r="S439" s="50">
        <v>26</v>
      </c>
      <c r="T439" s="50">
        <v>48</v>
      </c>
      <c r="U439" s="50">
        <v>12.34</v>
      </c>
      <c r="V439" s="50">
        <v>56.5</v>
      </c>
      <c r="W439" s="50">
        <v>48</v>
      </c>
      <c r="X439" s="50">
        <v>417</v>
      </c>
      <c r="Y439" s="50">
        <v>12.24</v>
      </c>
      <c r="Z439" s="50">
        <v>38.1</v>
      </c>
      <c r="AA439" s="50">
        <v>5.48</v>
      </c>
      <c r="AB439" s="50"/>
      <c r="AC439" s="50"/>
      <c r="AD439" s="50"/>
      <c r="AE439" s="50"/>
      <c r="AF439" s="50"/>
      <c r="AG439" s="50"/>
      <c r="AH439" s="50"/>
      <c r="AI439" s="50"/>
      <c r="AJ439" s="50"/>
    </row>
    <row r="440" spans="1:36" ht="15" customHeight="1" x14ac:dyDescent="0.25">
      <c r="A440" s="50">
        <v>88</v>
      </c>
      <c r="B440" s="50" t="s">
        <v>924</v>
      </c>
      <c r="C440" s="50" t="s">
        <v>1352</v>
      </c>
      <c r="D440" s="50">
        <v>31</v>
      </c>
      <c r="E440" s="50" t="s">
        <v>1353</v>
      </c>
      <c r="F440" s="50">
        <v>12</v>
      </c>
      <c r="G440" s="50">
        <v>4.5999999999999996</v>
      </c>
      <c r="H440" s="50">
        <v>28</v>
      </c>
      <c r="I440" s="50">
        <v>2.83</v>
      </c>
      <c r="J440" s="50">
        <v>96</v>
      </c>
      <c r="K440" s="50">
        <v>76</v>
      </c>
      <c r="L440" s="50">
        <v>3.69</v>
      </c>
      <c r="M440" s="50">
        <v>4.8499999999999996</v>
      </c>
      <c r="N440" s="50">
        <v>42</v>
      </c>
      <c r="O440" s="50">
        <v>12.6</v>
      </c>
      <c r="P440" s="50">
        <v>9.6</v>
      </c>
      <c r="Q440" s="50">
        <v>39.799999999999997</v>
      </c>
      <c r="R440" s="50">
        <v>54.8</v>
      </c>
      <c r="S440" s="50">
        <v>28.7</v>
      </c>
      <c r="T440" s="50">
        <v>47</v>
      </c>
      <c r="U440" s="50">
        <v>11.33</v>
      </c>
      <c r="V440" s="50">
        <v>57.6</v>
      </c>
      <c r="W440" s="50">
        <v>52</v>
      </c>
      <c r="X440" s="50">
        <v>409</v>
      </c>
      <c r="Y440" s="50">
        <v>11.5</v>
      </c>
      <c r="Z440" s="50">
        <v>39.200000000000003</v>
      </c>
      <c r="AA440" s="50">
        <v>5.43</v>
      </c>
      <c r="AB440" s="50"/>
      <c r="AC440" s="50"/>
      <c r="AD440" s="50"/>
      <c r="AE440" s="50"/>
      <c r="AF440" s="50"/>
      <c r="AG440" s="50"/>
      <c r="AH440" s="50"/>
      <c r="AI440" s="50"/>
      <c r="AJ440" s="50"/>
    </row>
    <row r="441" spans="1:36" ht="15" customHeight="1" x14ac:dyDescent="0.25">
      <c r="A441" s="50">
        <v>88</v>
      </c>
      <c r="B441" s="50" t="s">
        <v>924</v>
      </c>
      <c r="C441" s="50" t="s">
        <v>1352</v>
      </c>
      <c r="D441" s="50">
        <v>31</v>
      </c>
      <c r="E441" s="50" t="s">
        <v>1353</v>
      </c>
      <c r="F441" s="50">
        <v>21</v>
      </c>
      <c r="G441" s="50">
        <v>2.8</v>
      </c>
      <c r="H441" s="50">
        <v>21</v>
      </c>
      <c r="I441" s="50">
        <v>2.09</v>
      </c>
      <c r="J441" s="50">
        <v>110</v>
      </c>
      <c r="K441" s="50">
        <v>58</v>
      </c>
      <c r="L441" s="50">
        <v>2.54</v>
      </c>
      <c r="M441" s="50">
        <v>2.84</v>
      </c>
      <c r="N441" s="50">
        <v>39</v>
      </c>
      <c r="O441" s="50">
        <v>10.4</v>
      </c>
      <c r="P441" s="50">
        <v>8.6</v>
      </c>
      <c r="Q441" s="50">
        <v>31.9</v>
      </c>
      <c r="R441" s="50">
        <v>62.6</v>
      </c>
      <c r="S441" s="50">
        <v>35.6</v>
      </c>
      <c r="T441" s="50">
        <v>60</v>
      </c>
      <c r="U441" s="50">
        <v>9.2200000000000006</v>
      </c>
      <c r="V441" s="50">
        <v>64.900000000000006</v>
      </c>
      <c r="W441" s="50">
        <v>60</v>
      </c>
      <c r="X441" s="50">
        <v>467</v>
      </c>
      <c r="Y441" s="50">
        <v>9.7200000000000006</v>
      </c>
      <c r="Z441" s="50">
        <v>43.6</v>
      </c>
      <c r="AA441" s="50">
        <v>5.94</v>
      </c>
      <c r="AB441" s="50"/>
      <c r="AC441" s="50"/>
      <c r="AD441" s="50"/>
      <c r="AE441" s="50"/>
      <c r="AF441" s="50"/>
      <c r="AG441" s="50"/>
      <c r="AH441" s="50"/>
      <c r="AI441" s="50"/>
      <c r="AJ441" s="50"/>
    </row>
    <row r="442" spans="1:36" ht="15" customHeight="1" x14ac:dyDescent="0.25">
      <c r="A442" s="50">
        <v>89</v>
      </c>
      <c r="B442" s="50" t="s">
        <v>924</v>
      </c>
      <c r="C442" s="50" t="s">
        <v>1357</v>
      </c>
      <c r="D442" s="50">
        <v>24</v>
      </c>
      <c r="E442" s="50" t="s">
        <v>1359</v>
      </c>
      <c r="F442" s="50">
        <v>0</v>
      </c>
      <c r="G442" s="50">
        <v>7.4</v>
      </c>
      <c r="H442" s="50">
        <v>46</v>
      </c>
      <c r="I442" s="50">
        <v>2.96</v>
      </c>
      <c r="J442" s="50">
        <v>106</v>
      </c>
      <c r="K442" s="50">
        <v>100</v>
      </c>
      <c r="L442" s="50">
        <v>6.57</v>
      </c>
      <c r="M442" s="50">
        <v>6.53</v>
      </c>
      <c r="N442" s="50">
        <v>51</v>
      </c>
      <c r="O442" s="50">
        <v>13</v>
      </c>
      <c r="P442" s="50">
        <v>14.5</v>
      </c>
      <c r="Q442" s="50">
        <v>41.5</v>
      </c>
      <c r="R442" s="50">
        <v>43.2</v>
      </c>
      <c r="S442" s="50">
        <v>18.899999999999999</v>
      </c>
      <c r="T442" s="50">
        <v>36</v>
      </c>
      <c r="U442" s="50">
        <v>2.33</v>
      </c>
      <c r="V442" s="50">
        <v>59.7</v>
      </c>
      <c r="W442" s="50">
        <v>58</v>
      </c>
      <c r="X442" s="50">
        <v>424</v>
      </c>
      <c r="Y442" s="50">
        <v>15.28</v>
      </c>
      <c r="Z442" s="50">
        <v>30</v>
      </c>
      <c r="AA442" s="50">
        <v>6.42</v>
      </c>
      <c r="AB442" s="50"/>
      <c r="AC442" s="50"/>
      <c r="AD442" s="50"/>
      <c r="AE442" s="50"/>
      <c r="AF442" s="50"/>
      <c r="AG442" s="50"/>
      <c r="AH442" s="50"/>
      <c r="AI442" s="50"/>
      <c r="AJ442" s="50"/>
    </row>
    <row r="443" spans="1:36" ht="15" customHeight="1" x14ac:dyDescent="0.25">
      <c r="A443" s="50">
        <v>89</v>
      </c>
      <c r="B443" s="50" t="s">
        <v>924</v>
      </c>
      <c r="C443" s="50" t="s">
        <v>1357</v>
      </c>
      <c r="D443" s="50">
        <v>24</v>
      </c>
      <c r="E443" s="50" t="s">
        <v>1359</v>
      </c>
      <c r="F443" s="50">
        <v>4</v>
      </c>
      <c r="G443" s="50">
        <v>6.6</v>
      </c>
      <c r="H443" s="50">
        <v>44</v>
      </c>
      <c r="I443" s="50">
        <v>2.71</v>
      </c>
      <c r="J443" s="50">
        <v>113</v>
      </c>
      <c r="K443" s="50">
        <v>92</v>
      </c>
      <c r="L443" s="50">
        <v>5.54</v>
      </c>
      <c r="M443" s="50">
        <v>5.91</v>
      </c>
      <c r="N443" s="50">
        <v>46</v>
      </c>
      <c r="O443" s="50">
        <v>12.2</v>
      </c>
      <c r="P443" s="50">
        <v>13.1</v>
      </c>
      <c r="Q443" s="50">
        <v>36.299999999999997</v>
      </c>
      <c r="R443" s="50">
        <v>47.1</v>
      </c>
      <c r="S443" s="50">
        <v>21.8</v>
      </c>
      <c r="T443" s="50">
        <v>39</v>
      </c>
      <c r="U443" s="50">
        <v>2.93</v>
      </c>
      <c r="V443" s="50">
        <v>60</v>
      </c>
      <c r="W443" s="50">
        <v>58</v>
      </c>
      <c r="X443" s="50">
        <v>434</v>
      </c>
      <c r="Y443" s="50">
        <v>13.51</v>
      </c>
      <c r="Z443" s="50">
        <v>32.6</v>
      </c>
      <c r="AA443" s="50">
        <v>6.4</v>
      </c>
      <c r="AB443" s="50"/>
      <c r="AC443" s="50"/>
      <c r="AD443" s="50"/>
      <c r="AE443" s="50"/>
      <c r="AF443" s="50"/>
      <c r="AG443" s="50"/>
      <c r="AH443" s="50"/>
      <c r="AI443" s="50"/>
      <c r="AJ443" s="50"/>
    </row>
    <row r="444" spans="1:36" ht="15" customHeight="1" x14ac:dyDescent="0.25">
      <c r="A444" s="50">
        <v>89</v>
      </c>
      <c r="B444" s="50" t="s">
        <v>924</v>
      </c>
      <c r="C444" s="50" t="s">
        <v>1357</v>
      </c>
      <c r="D444" s="50">
        <v>24</v>
      </c>
      <c r="E444" s="50" t="s">
        <v>1359</v>
      </c>
      <c r="F444" s="50">
        <v>8</v>
      </c>
      <c r="G444" s="50">
        <v>5.6</v>
      </c>
      <c r="H444" s="50">
        <v>41</v>
      </c>
      <c r="I444" s="50">
        <v>2.5099999999999998</v>
      </c>
      <c r="J444" s="50">
        <v>119</v>
      </c>
      <c r="K444" s="50">
        <v>84</v>
      </c>
      <c r="L444" s="50">
        <v>5.18</v>
      </c>
      <c r="M444" s="50">
        <v>5.31</v>
      </c>
      <c r="N444" s="50">
        <v>40</v>
      </c>
      <c r="O444" s="50">
        <v>10.6</v>
      </c>
      <c r="P444" s="50">
        <v>12.6</v>
      </c>
      <c r="Q444" s="50">
        <v>36.4</v>
      </c>
      <c r="R444" s="50">
        <v>49.8</v>
      </c>
      <c r="S444" s="50">
        <v>24.6</v>
      </c>
      <c r="T444" s="50">
        <v>45</v>
      </c>
      <c r="U444" s="50">
        <v>3.2</v>
      </c>
      <c r="V444" s="50">
        <v>63.2</v>
      </c>
      <c r="W444" s="50">
        <v>67</v>
      </c>
      <c r="X444" s="50">
        <v>466</v>
      </c>
      <c r="Y444" s="50">
        <v>12.78</v>
      </c>
      <c r="Z444" s="50">
        <v>33.200000000000003</v>
      </c>
      <c r="AA444" s="50">
        <v>6.54</v>
      </c>
      <c r="AB444" s="50"/>
      <c r="AC444" s="50"/>
      <c r="AD444" s="50"/>
      <c r="AE444" s="50"/>
      <c r="AF444" s="50"/>
      <c r="AG444" s="50"/>
      <c r="AH444" s="50"/>
      <c r="AI444" s="50"/>
      <c r="AJ444" s="50"/>
    </row>
    <row r="445" spans="1:36" ht="15" customHeight="1" x14ac:dyDescent="0.25">
      <c r="A445" s="50">
        <v>89</v>
      </c>
      <c r="B445" s="50" t="s">
        <v>924</v>
      </c>
      <c r="C445" s="50" t="s">
        <v>1357</v>
      </c>
      <c r="D445" s="50">
        <v>24</v>
      </c>
      <c r="E445" s="50" t="s">
        <v>1359</v>
      </c>
      <c r="F445" s="50">
        <v>12</v>
      </c>
      <c r="G445" s="50">
        <v>4.7</v>
      </c>
      <c r="H445" s="50">
        <v>37</v>
      </c>
      <c r="I445" s="50">
        <v>2.09</v>
      </c>
      <c r="J445" s="50">
        <v>115</v>
      </c>
      <c r="K445" s="50">
        <v>76</v>
      </c>
      <c r="L445" s="50">
        <v>4.0599999999999996</v>
      </c>
      <c r="M445" s="50">
        <v>4.46</v>
      </c>
      <c r="N445" s="50">
        <v>37</v>
      </c>
      <c r="O445" s="50">
        <v>10.5</v>
      </c>
      <c r="P445" s="50">
        <v>12.1</v>
      </c>
      <c r="Q445" s="50">
        <v>31.2</v>
      </c>
      <c r="R445" s="50">
        <v>50.9</v>
      </c>
      <c r="S445" s="50">
        <v>26.5</v>
      </c>
      <c r="T445" s="50">
        <v>56</v>
      </c>
      <c r="U445" s="50">
        <v>3.48</v>
      </c>
      <c r="V445" s="50">
        <v>64</v>
      </c>
      <c r="W445" s="50">
        <v>63</v>
      </c>
      <c r="X445" s="50">
        <v>484</v>
      </c>
      <c r="Y445" s="50">
        <v>11.61</v>
      </c>
      <c r="Z445" s="50">
        <v>35.4</v>
      </c>
      <c r="AA445" s="50">
        <v>6.92</v>
      </c>
      <c r="AB445" s="50"/>
      <c r="AC445" s="50"/>
      <c r="AD445" s="50"/>
      <c r="AE445" s="50"/>
      <c r="AF445" s="50"/>
      <c r="AG445" s="50"/>
      <c r="AH445" s="50"/>
      <c r="AI445" s="50"/>
      <c r="AJ445" s="50"/>
    </row>
    <row r="446" spans="1:36" ht="15" customHeight="1" x14ac:dyDescent="0.25">
      <c r="A446" s="50">
        <v>89</v>
      </c>
      <c r="B446" s="50" t="s">
        <v>924</v>
      </c>
      <c r="C446" s="50" t="s">
        <v>1357</v>
      </c>
      <c r="D446" s="50">
        <v>24</v>
      </c>
      <c r="E446" s="50" t="s">
        <v>1359</v>
      </c>
      <c r="F446" s="50">
        <v>21</v>
      </c>
      <c r="G446" s="50">
        <v>3.3</v>
      </c>
      <c r="H446" s="50">
        <v>30</v>
      </c>
      <c r="I446" s="50">
        <v>1.62</v>
      </c>
      <c r="J446" s="50">
        <v>131</v>
      </c>
      <c r="K446" s="50">
        <v>58</v>
      </c>
      <c r="L446" s="50">
        <v>3.15</v>
      </c>
      <c r="M446" s="50">
        <v>3.51</v>
      </c>
      <c r="N446" s="50">
        <v>31</v>
      </c>
      <c r="O446" s="50">
        <v>7.9</v>
      </c>
      <c r="P446" s="50">
        <v>9.9</v>
      </c>
      <c r="Q446" s="50">
        <v>23</v>
      </c>
      <c r="R446" s="50">
        <v>57.8</v>
      </c>
      <c r="S446" s="50">
        <v>35.4</v>
      </c>
      <c r="T446" s="50">
        <v>67</v>
      </c>
      <c r="U446" s="50">
        <v>3.6</v>
      </c>
      <c r="V446" s="50">
        <v>65.5</v>
      </c>
      <c r="W446" s="50">
        <v>68</v>
      </c>
      <c r="X446" s="50">
        <v>524</v>
      </c>
      <c r="Y446" s="50">
        <v>11.06</v>
      </c>
      <c r="Z446" s="50">
        <v>37.9</v>
      </c>
      <c r="AA446" s="50">
        <v>6.99</v>
      </c>
      <c r="AB446" s="50"/>
      <c r="AC446" s="50"/>
      <c r="AD446" s="50"/>
      <c r="AE446" s="50"/>
      <c r="AF446" s="50"/>
      <c r="AG446" s="50"/>
      <c r="AH446" s="50"/>
      <c r="AI446" s="50"/>
      <c r="AJ446" s="50"/>
    </row>
    <row r="447" spans="1:36" ht="15" customHeight="1" x14ac:dyDescent="0.25">
      <c r="A447" s="50">
        <v>90</v>
      </c>
      <c r="B447" s="50" t="s">
        <v>925</v>
      </c>
      <c r="C447" s="50" t="s">
        <v>1357</v>
      </c>
      <c r="D447" s="50">
        <v>50</v>
      </c>
      <c r="E447" s="50" t="s">
        <v>1353</v>
      </c>
      <c r="F447" s="50">
        <v>0</v>
      </c>
      <c r="G447" s="50">
        <v>7.6</v>
      </c>
      <c r="H447" s="50">
        <v>38</v>
      </c>
      <c r="I447" s="50">
        <v>3.59</v>
      </c>
      <c r="J447" s="50">
        <v>115</v>
      </c>
      <c r="K447" s="50">
        <v>100</v>
      </c>
      <c r="L447" s="50">
        <v>7.48</v>
      </c>
      <c r="M447" s="50">
        <v>5.36</v>
      </c>
      <c r="N447" s="50">
        <v>37</v>
      </c>
      <c r="O447" s="50">
        <v>15.5</v>
      </c>
      <c r="P447" s="50">
        <v>11.3</v>
      </c>
      <c r="Q447" s="50">
        <v>48.6</v>
      </c>
      <c r="R447" s="50">
        <v>30.9</v>
      </c>
      <c r="S447" s="50">
        <v>24.3</v>
      </c>
      <c r="T447" s="50">
        <v>37</v>
      </c>
      <c r="U447" s="50">
        <v>9.8800000000000008</v>
      </c>
      <c r="V447" s="50">
        <v>61.3</v>
      </c>
      <c r="W447" s="50">
        <v>60</v>
      </c>
      <c r="X447" s="50">
        <v>341</v>
      </c>
      <c r="Y447" s="50">
        <v>13.43</v>
      </c>
      <c r="Z447" s="50">
        <v>39.6</v>
      </c>
      <c r="AA447" s="50">
        <v>5.91</v>
      </c>
      <c r="AB447" s="50"/>
      <c r="AC447" s="50"/>
      <c r="AD447" s="50"/>
      <c r="AE447" s="50"/>
      <c r="AF447" s="50"/>
      <c r="AG447" s="50"/>
      <c r="AH447" s="50"/>
      <c r="AI447" s="50"/>
      <c r="AJ447" s="50"/>
    </row>
    <row r="448" spans="1:36" ht="15" customHeight="1" x14ac:dyDescent="0.25">
      <c r="A448" s="50">
        <v>90</v>
      </c>
      <c r="B448" s="50" t="s">
        <v>925</v>
      </c>
      <c r="C448" s="50" t="s">
        <v>1357</v>
      </c>
      <c r="D448" s="50">
        <v>50</v>
      </c>
      <c r="E448" s="50" t="s">
        <v>1353</v>
      </c>
      <c r="F448" s="50">
        <v>4</v>
      </c>
      <c r="G448" s="50">
        <v>6.5</v>
      </c>
      <c r="H448" s="50">
        <v>36</v>
      </c>
      <c r="I448" s="50">
        <v>3.21</v>
      </c>
      <c r="J448" s="50">
        <v>118</v>
      </c>
      <c r="K448" s="50">
        <v>91</v>
      </c>
      <c r="L448" s="50">
        <v>6.83</v>
      </c>
      <c r="M448" s="50">
        <v>4.71</v>
      </c>
      <c r="N448" s="50">
        <v>35</v>
      </c>
      <c r="O448" s="50">
        <v>14</v>
      </c>
      <c r="P448" s="50">
        <v>10.6</v>
      </c>
      <c r="Q448" s="50">
        <v>43.5</v>
      </c>
      <c r="R448" s="50">
        <v>37.9</v>
      </c>
      <c r="S448" s="50">
        <v>28.7</v>
      </c>
      <c r="T448" s="50">
        <v>43</v>
      </c>
      <c r="U448" s="50">
        <v>9.39</v>
      </c>
      <c r="V448" s="50">
        <v>62.5</v>
      </c>
      <c r="W448" s="50">
        <v>61</v>
      </c>
      <c r="X448" s="50">
        <v>395</v>
      </c>
      <c r="Y448" s="50">
        <v>13.11</v>
      </c>
      <c r="Z448" s="50">
        <v>40.4</v>
      </c>
      <c r="AA448" s="50">
        <v>6.04</v>
      </c>
      <c r="AB448" s="50"/>
      <c r="AC448" s="50"/>
      <c r="AD448" s="50"/>
      <c r="AE448" s="50"/>
      <c r="AF448" s="50"/>
      <c r="AG448" s="50"/>
      <c r="AH448" s="50"/>
      <c r="AI448" s="50"/>
      <c r="AJ448" s="50"/>
    </row>
    <row r="449" spans="1:36" ht="15" customHeight="1" x14ac:dyDescent="0.25">
      <c r="A449" s="50">
        <v>90</v>
      </c>
      <c r="B449" s="50" t="s">
        <v>925</v>
      </c>
      <c r="C449" s="50" t="s">
        <v>1357</v>
      </c>
      <c r="D449" s="50">
        <v>50</v>
      </c>
      <c r="E449" s="50" t="s">
        <v>1353</v>
      </c>
      <c r="F449" s="50">
        <v>8</v>
      </c>
      <c r="G449" s="50">
        <v>5.5</v>
      </c>
      <c r="H449" s="50">
        <v>30</v>
      </c>
      <c r="I449" s="50">
        <v>2.95</v>
      </c>
      <c r="J449" s="50">
        <v>125</v>
      </c>
      <c r="K449" s="50">
        <v>83</v>
      </c>
      <c r="L449" s="50">
        <v>5.5</v>
      </c>
      <c r="M449" s="50">
        <v>4.21</v>
      </c>
      <c r="N449" s="50">
        <v>34</v>
      </c>
      <c r="O449" s="50">
        <v>13.7</v>
      </c>
      <c r="P449" s="50">
        <v>10.1</v>
      </c>
      <c r="Q449" s="50">
        <v>43.4</v>
      </c>
      <c r="R449" s="50">
        <v>42.1</v>
      </c>
      <c r="S449" s="50">
        <v>29</v>
      </c>
      <c r="T449" s="50">
        <v>44</v>
      </c>
      <c r="U449" s="50">
        <v>8.1300000000000008</v>
      </c>
      <c r="V449" s="50">
        <v>65.900000000000006</v>
      </c>
      <c r="W449" s="50">
        <v>67</v>
      </c>
      <c r="X449" s="50">
        <v>422</v>
      </c>
      <c r="Y449" s="50">
        <v>11.61</v>
      </c>
      <c r="Z449" s="50">
        <v>40.5</v>
      </c>
      <c r="AA449" s="50">
        <v>6.51</v>
      </c>
      <c r="AB449" s="50"/>
      <c r="AC449" s="50"/>
      <c r="AD449" s="50"/>
      <c r="AE449" s="50"/>
      <c r="AF449" s="50"/>
      <c r="AG449" s="50"/>
      <c r="AH449" s="50"/>
      <c r="AI449" s="50"/>
      <c r="AJ449" s="50"/>
    </row>
    <row r="450" spans="1:36" ht="15" customHeight="1" x14ac:dyDescent="0.25">
      <c r="A450" s="50">
        <v>90</v>
      </c>
      <c r="B450" s="50" t="s">
        <v>925</v>
      </c>
      <c r="C450" s="50" t="s">
        <v>1357</v>
      </c>
      <c r="D450" s="50">
        <v>50</v>
      </c>
      <c r="E450" s="50" t="s">
        <v>1353</v>
      </c>
      <c r="F450" s="50">
        <v>12</v>
      </c>
      <c r="G450" s="50">
        <v>4.8</v>
      </c>
      <c r="H450" s="50">
        <v>28</v>
      </c>
      <c r="I450" s="50">
        <v>2.65</v>
      </c>
      <c r="J450" s="50">
        <v>132</v>
      </c>
      <c r="K450" s="50">
        <v>74</v>
      </c>
      <c r="L450" s="50">
        <v>5.59</v>
      </c>
      <c r="M450" s="50">
        <v>3.91</v>
      </c>
      <c r="N450" s="50">
        <v>34</v>
      </c>
      <c r="O450" s="50">
        <v>13.9</v>
      </c>
      <c r="P450" s="50">
        <v>8.8000000000000007</v>
      </c>
      <c r="Q450" s="50">
        <v>39.299999999999997</v>
      </c>
      <c r="R450" s="50">
        <v>47.7</v>
      </c>
      <c r="S450" s="50">
        <v>32.9</v>
      </c>
      <c r="T450" s="50">
        <v>50</v>
      </c>
      <c r="U450" s="50">
        <v>8.06</v>
      </c>
      <c r="V450" s="50">
        <v>68.400000000000006</v>
      </c>
      <c r="W450" s="50">
        <v>65</v>
      </c>
      <c r="X450" s="50">
        <v>437</v>
      </c>
      <c r="Y450" s="50">
        <v>11.21</v>
      </c>
      <c r="Z450" s="50">
        <v>38.9</v>
      </c>
      <c r="AA450" s="50">
        <v>6.73</v>
      </c>
      <c r="AB450" s="50"/>
      <c r="AC450" s="50"/>
      <c r="AD450" s="50"/>
      <c r="AE450" s="50"/>
      <c r="AF450" s="50"/>
      <c r="AG450" s="50"/>
      <c r="AH450" s="50"/>
      <c r="AI450" s="50"/>
      <c r="AJ450" s="50"/>
    </row>
    <row r="451" spans="1:36" ht="15" customHeight="1" x14ac:dyDescent="0.25">
      <c r="A451" s="50">
        <v>90</v>
      </c>
      <c r="B451" s="50" t="s">
        <v>925</v>
      </c>
      <c r="C451" s="50" t="s">
        <v>1357</v>
      </c>
      <c r="D451" s="50">
        <v>50</v>
      </c>
      <c r="E451" s="50" t="s">
        <v>1353</v>
      </c>
      <c r="F451" s="50">
        <v>21</v>
      </c>
      <c r="G451" s="50">
        <v>3.1</v>
      </c>
      <c r="H451" s="50">
        <v>19</v>
      </c>
      <c r="I451" s="50">
        <v>1.79</v>
      </c>
      <c r="J451" s="50">
        <v>137</v>
      </c>
      <c r="K451" s="50">
        <v>55</v>
      </c>
      <c r="L451" s="50">
        <v>4.42</v>
      </c>
      <c r="M451" s="50">
        <v>3.32</v>
      </c>
      <c r="N451" s="50">
        <v>29</v>
      </c>
      <c r="O451" s="50">
        <v>12.5</v>
      </c>
      <c r="P451" s="50">
        <v>8.4</v>
      </c>
      <c r="Q451" s="50">
        <v>32.200000000000003</v>
      </c>
      <c r="R451" s="50">
        <v>59.2</v>
      </c>
      <c r="S451" s="50">
        <v>34</v>
      </c>
      <c r="T451" s="50">
        <v>60</v>
      </c>
      <c r="U451" s="50">
        <v>6.19</v>
      </c>
      <c r="V451" s="50">
        <v>69.400000000000006</v>
      </c>
      <c r="W451" s="50">
        <v>68</v>
      </c>
      <c r="X451" s="50">
        <v>508</v>
      </c>
      <c r="Y451" s="50">
        <v>9.74</v>
      </c>
      <c r="Z451" s="50">
        <v>42.4</v>
      </c>
      <c r="AA451" s="50">
        <v>6.73</v>
      </c>
      <c r="AB451" s="50"/>
      <c r="AC451" s="50"/>
      <c r="AD451" s="50"/>
      <c r="AE451" s="50"/>
      <c r="AF451" s="50"/>
      <c r="AG451" s="50"/>
      <c r="AH451" s="50"/>
      <c r="AI451" s="50"/>
      <c r="AJ451" s="50"/>
    </row>
    <row r="452" spans="1:36" ht="15" customHeight="1" x14ac:dyDescent="0.25">
      <c r="A452" s="50">
        <v>91</v>
      </c>
      <c r="B452" s="50" t="s">
        <v>925</v>
      </c>
      <c r="C452" s="50" t="s">
        <v>1352</v>
      </c>
      <c r="D452" s="50">
        <v>25</v>
      </c>
      <c r="E452" s="50" t="s">
        <v>1359</v>
      </c>
      <c r="F452" s="50">
        <v>0</v>
      </c>
      <c r="G452" s="50">
        <v>7.3</v>
      </c>
      <c r="H452" s="50">
        <v>48</v>
      </c>
      <c r="I452" s="50">
        <v>3.94</v>
      </c>
      <c r="J452" s="50">
        <v>88</v>
      </c>
      <c r="K452" s="50">
        <v>100</v>
      </c>
      <c r="L452" s="50">
        <v>6.71</v>
      </c>
      <c r="M452" s="50">
        <v>5.69</v>
      </c>
      <c r="N452" s="50">
        <v>34</v>
      </c>
      <c r="O452" s="50">
        <v>14.1</v>
      </c>
      <c r="P452" s="50">
        <v>11.9</v>
      </c>
      <c r="Q452" s="50">
        <v>41.6</v>
      </c>
      <c r="R452" s="50">
        <v>32.6</v>
      </c>
      <c r="S452" s="50">
        <v>11.4</v>
      </c>
      <c r="T452" s="50">
        <v>47</v>
      </c>
      <c r="U452" s="50">
        <v>7.05</v>
      </c>
      <c r="V452" s="50">
        <v>56.4</v>
      </c>
      <c r="W452" s="50">
        <v>53</v>
      </c>
      <c r="X452" s="50">
        <v>364</v>
      </c>
      <c r="Y452" s="50">
        <v>10.15</v>
      </c>
      <c r="Z452" s="50">
        <v>23.1</v>
      </c>
      <c r="AA452" s="50">
        <v>4.5999999999999996</v>
      </c>
      <c r="AB452" s="50"/>
      <c r="AC452" s="50"/>
      <c r="AD452" s="50"/>
      <c r="AE452" s="50"/>
      <c r="AF452" s="50"/>
      <c r="AG452" s="50"/>
      <c r="AH452" s="50"/>
      <c r="AI452" s="50"/>
      <c r="AJ452" s="50"/>
    </row>
    <row r="453" spans="1:36" ht="15" customHeight="1" x14ac:dyDescent="0.25">
      <c r="A453" s="50">
        <v>91</v>
      </c>
      <c r="B453" s="50" t="s">
        <v>925</v>
      </c>
      <c r="C453" s="50" t="s">
        <v>1352</v>
      </c>
      <c r="D453" s="50">
        <v>25</v>
      </c>
      <c r="E453" s="50" t="s">
        <v>1359</v>
      </c>
      <c r="F453" s="50">
        <v>4</v>
      </c>
      <c r="G453" s="50">
        <v>6.7</v>
      </c>
      <c r="H453" s="50">
        <v>44</v>
      </c>
      <c r="I453" s="50">
        <v>3.54</v>
      </c>
      <c r="J453" s="50">
        <v>93</v>
      </c>
      <c r="K453" s="50">
        <v>91</v>
      </c>
      <c r="L453" s="50">
        <v>6.12</v>
      </c>
      <c r="M453" s="50">
        <v>5.29</v>
      </c>
      <c r="N453" s="50">
        <v>35</v>
      </c>
      <c r="O453" s="50">
        <v>13.9</v>
      </c>
      <c r="P453" s="50">
        <v>12.2</v>
      </c>
      <c r="Q453" s="50">
        <v>40.9</v>
      </c>
      <c r="R453" s="50">
        <v>33</v>
      </c>
      <c r="S453" s="50">
        <v>11.4</v>
      </c>
      <c r="T453" s="50">
        <v>53</v>
      </c>
      <c r="U453" s="50">
        <v>7.28</v>
      </c>
      <c r="V453" s="50">
        <v>57.2</v>
      </c>
      <c r="W453" s="50">
        <v>58</v>
      </c>
      <c r="X453" s="50">
        <v>373</v>
      </c>
      <c r="Y453" s="50">
        <v>9.81</v>
      </c>
      <c r="Z453" s="50">
        <v>24.3</v>
      </c>
      <c r="AA453" s="50">
        <v>5.05</v>
      </c>
      <c r="AB453" s="50"/>
      <c r="AC453" s="50"/>
      <c r="AD453" s="50"/>
      <c r="AE453" s="50"/>
      <c r="AF453" s="50"/>
      <c r="AG453" s="50"/>
      <c r="AH453" s="50"/>
      <c r="AI453" s="50"/>
      <c r="AJ453" s="50"/>
    </row>
    <row r="454" spans="1:36" ht="15" customHeight="1" x14ac:dyDescent="0.25">
      <c r="A454" s="50">
        <v>91</v>
      </c>
      <c r="B454" s="50" t="s">
        <v>925</v>
      </c>
      <c r="C454" s="50" t="s">
        <v>1352</v>
      </c>
      <c r="D454" s="50">
        <v>25</v>
      </c>
      <c r="E454" s="50" t="s">
        <v>1359</v>
      </c>
      <c r="F454" s="50">
        <v>8</v>
      </c>
      <c r="G454" s="50">
        <v>5.9</v>
      </c>
      <c r="H454" s="50">
        <v>42</v>
      </c>
      <c r="I454" s="50">
        <v>3.26</v>
      </c>
      <c r="J454" s="50">
        <v>99</v>
      </c>
      <c r="K454" s="50">
        <v>83</v>
      </c>
      <c r="L454" s="50">
        <v>5.13</v>
      </c>
      <c r="M454" s="50">
        <v>4.96</v>
      </c>
      <c r="N454" s="50">
        <v>32</v>
      </c>
      <c r="O454" s="50">
        <v>12.3</v>
      </c>
      <c r="P454" s="50">
        <v>12.5</v>
      </c>
      <c r="Q454" s="50">
        <v>37.1</v>
      </c>
      <c r="R454" s="50">
        <v>39.6</v>
      </c>
      <c r="S454" s="50">
        <v>16.600000000000001</v>
      </c>
      <c r="T454" s="50">
        <v>51</v>
      </c>
      <c r="U454" s="50">
        <v>6.18</v>
      </c>
      <c r="V454" s="50">
        <v>61</v>
      </c>
      <c r="W454" s="50">
        <v>61</v>
      </c>
      <c r="X454" s="50">
        <v>406</v>
      </c>
      <c r="Y454" s="50">
        <v>9.69</v>
      </c>
      <c r="Z454" s="50">
        <v>27.5</v>
      </c>
      <c r="AA454" s="50">
        <v>5.44</v>
      </c>
      <c r="AB454" s="50"/>
      <c r="AC454" s="50"/>
      <c r="AD454" s="50"/>
      <c r="AE454" s="50"/>
      <c r="AF454" s="50"/>
      <c r="AG454" s="50"/>
      <c r="AH454" s="50"/>
      <c r="AI454" s="50"/>
      <c r="AJ454" s="50"/>
    </row>
    <row r="455" spans="1:36" ht="15" customHeight="1" x14ac:dyDescent="0.25">
      <c r="A455" s="50">
        <v>91</v>
      </c>
      <c r="B455" s="50" t="s">
        <v>925</v>
      </c>
      <c r="C455" s="50" t="s">
        <v>1352</v>
      </c>
      <c r="D455" s="50">
        <v>25</v>
      </c>
      <c r="E455" s="50" t="s">
        <v>1359</v>
      </c>
      <c r="F455" s="50">
        <v>12</v>
      </c>
      <c r="G455" s="50">
        <v>5</v>
      </c>
      <c r="H455" s="50">
        <v>38</v>
      </c>
      <c r="I455" s="50">
        <v>2.86</v>
      </c>
      <c r="J455" s="50">
        <v>104</v>
      </c>
      <c r="K455" s="50">
        <v>74</v>
      </c>
      <c r="L455" s="50">
        <v>4.6399999999999997</v>
      </c>
      <c r="M455" s="50">
        <v>3.72</v>
      </c>
      <c r="N455" s="50">
        <v>27</v>
      </c>
      <c r="O455" s="50">
        <v>11.2</v>
      </c>
      <c r="P455" s="50">
        <v>11.4</v>
      </c>
      <c r="Q455" s="50">
        <v>31.9</v>
      </c>
      <c r="R455" s="50">
        <v>45.9</v>
      </c>
      <c r="S455" s="50">
        <v>17.899999999999999</v>
      </c>
      <c r="T455" s="50">
        <v>53</v>
      </c>
      <c r="U455" s="50">
        <v>5.41</v>
      </c>
      <c r="V455" s="50">
        <v>60.8</v>
      </c>
      <c r="W455" s="50">
        <v>67</v>
      </c>
      <c r="X455" s="50">
        <v>424</v>
      </c>
      <c r="Y455" s="50">
        <v>9.0399999999999991</v>
      </c>
      <c r="Z455" s="50">
        <v>32.4</v>
      </c>
      <c r="AA455" s="50">
        <v>5.95</v>
      </c>
      <c r="AB455" s="50"/>
      <c r="AC455" s="50"/>
      <c r="AD455" s="50"/>
      <c r="AE455" s="50"/>
      <c r="AF455" s="50"/>
      <c r="AG455" s="50"/>
      <c r="AH455" s="50"/>
      <c r="AI455" s="50"/>
      <c r="AJ455" s="50"/>
    </row>
    <row r="456" spans="1:36" ht="15" customHeight="1" x14ac:dyDescent="0.25">
      <c r="A456" s="50">
        <v>91</v>
      </c>
      <c r="B456" s="50" t="s">
        <v>925</v>
      </c>
      <c r="C456" s="50" t="s">
        <v>1352</v>
      </c>
      <c r="D456" s="50">
        <v>25</v>
      </c>
      <c r="E456" s="50" t="s">
        <v>1359</v>
      </c>
      <c r="F456" s="50">
        <v>21</v>
      </c>
      <c r="G456" s="50">
        <v>3</v>
      </c>
      <c r="H456" s="50">
        <v>30</v>
      </c>
      <c r="I456" s="50">
        <v>2.04</v>
      </c>
      <c r="J456" s="50">
        <v>115</v>
      </c>
      <c r="K456" s="50">
        <v>55</v>
      </c>
      <c r="L456" s="50">
        <v>2.8</v>
      </c>
      <c r="M456" s="50">
        <v>2.66</v>
      </c>
      <c r="N456" s="50">
        <v>26</v>
      </c>
      <c r="O456" s="50">
        <v>9.6999999999999993</v>
      </c>
      <c r="P456" s="50">
        <v>10.7</v>
      </c>
      <c r="Q456" s="50">
        <v>26.5</v>
      </c>
      <c r="R456" s="50">
        <v>60.4</v>
      </c>
      <c r="S456" s="50">
        <v>28.5</v>
      </c>
      <c r="T456" s="50">
        <v>62</v>
      </c>
      <c r="U456" s="50">
        <v>5.08</v>
      </c>
      <c r="V456" s="50">
        <v>64.099999999999994</v>
      </c>
      <c r="W456" s="50">
        <v>80</v>
      </c>
      <c r="X456" s="50">
        <v>475</v>
      </c>
      <c r="Y456" s="50">
        <v>7.73</v>
      </c>
      <c r="Z456" s="50">
        <v>37</v>
      </c>
      <c r="AA456" s="50">
        <v>6.38</v>
      </c>
      <c r="AB456" s="50"/>
      <c r="AC456" s="50"/>
      <c r="AD456" s="50"/>
      <c r="AE456" s="50"/>
      <c r="AF456" s="50"/>
      <c r="AG456" s="50"/>
      <c r="AH456" s="50"/>
      <c r="AI456" s="50"/>
      <c r="AJ456" s="50"/>
    </row>
    <row r="457" spans="1:36" ht="15" customHeight="1" x14ac:dyDescent="0.25">
      <c r="A457" s="50">
        <v>92</v>
      </c>
      <c r="B457" s="50" t="s">
        <v>925</v>
      </c>
      <c r="C457" s="50" t="s">
        <v>1352</v>
      </c>
      <c r="D457" s="50">
        <v>27</v>
      </c>
      <c r="E457" s="50" t="s">
        <v>1359</v>
      </c>
      <c r="F457" s="50">
        <v>0</v>
      </c>
      <c r="G457" s="50">
        <v>6.1</v>
      </c>
      <c r="H457" s="50">
        <v>40</v>
      </c>
      <c r="I457" s="50">
        <v>3.47</v>
      </c>
      <c r="J457" s="50">
        <v>81</v>
      </c>
      <c r="K457" s="50">
        <v>100</v>
      </c>
      <c r="L457" s="50">
        <v>7.29</v>
      </c>
      <c r="M457" s="50">
        <v>6.03</v>
      </c>
      <c r="N457" s="50">
        <v>51</v>
      </c>
      <c r="O457" s="50">
        <v>11.6</v>
      </c>
      <c r="P457" s="50">
        <v>13.7</v>
      </c>
      <c r="Q457" s="50">
        <v>49.2</v>
      </c>
      <c r="R457" s="50">
        <v>40.6</v>
      </c>
      <c r="S457" s="50">
        <v>25.2</v>
      </c>
      <c r="T457" s="50">
        <v>24</v>
      </c>
      <c r="U457" s="50">
        <v>10.85</v>
      </c>
      <c r="V457" s="50">
        <v>51.6</v>
      </c>
      <c r="W457" s="50">
        <v>47</v>
      </c>
      <c r="X457" s="50">
        <v>504</v>
      </c>
      <c r="Y457" s="50">
        <v>13.91</v>
      </c>
      <c r="Z457" s="50">
        <v>29.2</v>
      </c>
      <c r="AA457" s="50">
        <v>5.63</v>
      </c>
      <c r="AB457" s="50"/>
      <c r="AC457" s="50"/>
      <c r="AD457" s="50"/>
      <c r="AE457" s="50"/>
      <c r="AF457" s="50"/>
      <c r="AG457" s="50"/>
      <c r="AH457" s="50"/>
      <c r="AI457" s="50"/>
      <c r="AJ457" s="50"/>
    </row>
    <row r="458" spans="1:36" ht="15" customHeight="1" x14ac:dyDescent="0.25">
      <c r="A458" s="50">
        <v>92</v>
      </c>
      <c r="B458" s="50" t="s">
        <v>925</v>
      </c>
      <c r="C458" s="50" t="s">
        <v>1352</v>
      </c>
      <c r="D458" s="50">
        <v>27</v>
      </c>
      <c r="E458" s="50" t="s">
        <v>1359</v>
      </c>
      <c r="F458" s="50">
        <v>4</v>
      </c>
      <c r="G458" s="50">
        <v>5.4</v>
      </c>
      <c r="H458" s="50">
        <v>38</v>
      </c>
      <c r="I458" s="50">
        <v>3.11</v>
      </c>
      <c r="J458" s="50">
        <v>85</v>
      </c>
      <c r="K458" s="50">
        <v>91</v>
      </c>
      <c r="L458" s="50">
        <v>6.42</v>
      </c>
      <c r="M458" s="50">
        <v>5.4</v>
      </c>
      <c r="N458" s="50">
        <v>48</v>
      </c>
      <c r="O458" s="50">
        <v>11.7</v>
      </c>
      <c r="P458" s="50">
        <v>12.7</v>
      </c>
      <c r="Q458" s="50">
        <v>46.3</v>
      </c>
      <c r="R458" s="50">
        <v>46.7</v>
      </c>
      <c r="S458" s="50">
        <v>27.2</v>
      </c>
      <c r="T458" s="50">
        <v>30</v>
      </c>
      <c r="U458" s="50">
        <v>10.6</v>
      </c>
      <c r="V458" s="50">
        <v>53.5</v>
      </c>
      <c r="W458" s="50">
        <v>50</v>
      </c>
      <c r="X458" s="50">
        <v>499</v>
      </c>
      <c r="Y458" s="50">
        <v>13.15</v>
      </c>
      <c r="Z458" s="50">
        <v>32.200000000000003</v>
      </c>
      <c r="AA458" s="50">
        <v>6</v>
      </c>
      <c r="AB458" s="50"/>
      <c r="AC458" s="50"/>
      <c r="AD458" s="50"/>
      <c r="AE458" s="50"/>
      <c r="AF458" s="50"/>
      <c r="AG458" s="50"/>
      <c r="AH458" s="50"/>
      <c r="AI458" s="50"/>
      <c r="AJ458" s="50"/>
    </row>
    <row r="459" spans="1:36" ht="15" customHeight="1" x14ac:dyDescent="0.25">
      <c r="A459" s="50">
        <v>92</v>
      </c>
      <c r="B459" s="50" t="s">
        <v>925</v>
      </c>
      <c r="C459" s="50" t="s">
        <v>1352</v>
      </c>
      <c r="D459" s="50">
        <v>27</v>
      </c>
      <c r="E459" s="50" t="s">
        <v>1359</v>
      </c>
      <c r="F459" s="50">
        <v>8</v>
      </c>
      <c r="G459" s="50">
        <v>5.0999999999999996</v>
      </c>
      <c r="H459" s="50">
        <v>35</v>
      </c>
      <c r="I459" s="50">
        <v>2.75</v>
      </c>
      <c r="J459" s="50">
        <v>92</v>
      </c>
      <c r="K459" s="50">
        <v>83</v>
      </c>
      <c r="L459" s="50">
        <v>6.09</v>
      </c>
      <c r="M459" s="50">
        <v>5.08</v>
      </c>
      <c r="N459" s="50">
        <v>45</v>
      </c>
      <c r="O459" s="50">
        <v>11.4</v>
      </c>
      <c r="P459" s="50">
        <v>12.5</v>
      </c>
      <c r="Q459" s="50">
        <v>41</v>
      </c>
      <c r="R459" s="50">
        <v>46.1</v>
      </c>
      <c r="S459" s="50">
        <v>30.1</v>
      </c>
      <c r="T459" s="50">
        <v>34</v>
      </c>
      <c r="U459" s="50">
        <v>10.16</v>
      </c>
      <c r="V459" s="50">
        <v>55.8</v>
      </c>
      <c r="W459" s="50">
        <v>52</v>
      </c>
      <c r="X459" s="50">
        <v>510</v>
      </c>
      <c r="Y459" s="50">
        <v>12.91</v>
      </c>
      <c r="Z459" s="50">
        <v>33.5</v>
      </c>
      <c r="AA459" s="50">
        <v>6.12</v>
      </c>
      <c r="AB459" s="50"/>
      <c r="AC459" s="50"/>
      <c r="AD459" s="50"/>
      <c r="AE459" s="50"/>
      <c r="AF459" s="50"/>
      <c r="AG459" s="50"/>
      <c r="AH459" s="50"/>
      <c r="AI459" s="50"/>
      <c r="AJ459" s="50"/>
    </row>
    <row r="460" spans="1:36" ht="15" customHeight="1" x14ac:dyDescent="0.25">
      <c r="A460" s="50">
        <v>92</v>
      </c>
      <c r="B460" s="50" t="s">
        <v>925</v>
      </c>
      <c r="C460" s="50" t="s">
        <v>1352</v>
      </c>
      <c r="D460" s="50">
        <v>27</v>
      </c>
      <c r="E460" s="50" t="s">
        <v>1359</v>
      </c>
      <c r="F460" s="50">
        <v>12</v>
      </c>
      <c r="G460" s="50">
        <v>4.3</v>
      </c>
      <c r="H460" s="50">
        <v>30</v>
      </c>
      <c r="I460" s="50">
        <v>2.5299999999999998</v>
      </c>
      <c r="J460" s="50">
        <v>98</v>
      </c>
      <c r="K460" s="50">
        <v>74</v>
      </c>
      <c r="L460" s="50">
        <v>5.05</v>
      </c>
      <c r="M460" s="50">
        <v>4.1100000000000003</v>
      </c>
      <c r="N460" s="50">
        <v>43</v>
      </c>
      <c r="O460" s="50">
        <v>10.4</v>
      </c>
      <c r="P460" s="50">
        <v>11.6</v>
      </c>
      <c r="Q460" s="50">
        <v>37.1</v>
      </c>
      <c r="R460" s="50">
        <v>55.3</v>
      </c>
      <c r="S460" s="50">
        <v>34.799999999999997</v>
      </c>
      <c r="T460" s="50">
        <v>41</v>
      </c>
      <c r="U460" s="50">
        <v>8.74</v>
      </c>
      <c r="V460" s="50">
        <v>58.9</v>
      </c>
      <c r="W460" s="50">
        <v>56</v>
      </c>
      <c r="X460" s="50">
        <v>510</v>
      </c>
      <c r="Y460" s="50">
        <v>11.3</v>
      </c>
      <c r="Z460" s="50">
        <v>36.700000000000003</v>
      </c>
      <c r="AA460" s="50">
        <v>6.19</v>
      </c>
      <c r="AB460" s="50"/>
      <c r="AC460" s="50"/>
      <c r="AD460" s="50"/>
      <c r="AE460" s="50"/>
      <c r="AF460" s="50"/>
      <c r="AG460" s="50"/>
      <c r="AH460" s="50"/>
      <c r="AI460" s="50"/>
      <c r="AJ460" s="50"/>
    </row>
    <row r="461" spans="1:36" ht="15" customHeight="1" x14ac:dyDescent="0.25">
      <c r="A461" s="50">
        <v>92</v>
      </c>
      <c r="B461" s="50" t="s">
        <v>925</v>
      </c>
      <c r="C461" s="50" t="s">
        <v>1352</v>
      </c>
      <c r="D461" s="50">
        <v>27</v>
      </c>
      <c r="E461" s="50" t="s">
        <v>1359</v>
      </c>
      <c r="F461" s="50">
        <v>21</v>
      </c>
      <c r="G461" s="50">
        <v>2.4</v>
      </c>
      <c r="H461" s="50">
        <v>22</v>
      </c>
      <c r="I461" s="50">
        <v>1.82</v>
      </c>
      <c r="J461" s="50">
        <v>107</v>
      </c>
      <c r="K461" s="50">
        <v>55</v>
      </c>
      <c r="L461" s="50">
        <v>2.85</v>
      </c>
      <c r="M461" s="50">
        <v>2.4500000000000002</v>
      </c>
      <c r="N461" s="50">
        <v>33</v>
      </c>
      <c r="O461" s="50">
        <v>8.6999999999999993</v>
      </c>
      <c r="P461" s="50">
        <v>7.6</v>
      </c>
      <c r="Q461" s="50">
        <v>26.2</v>
      </c>
      <c r="R461" s="50">
        <v>60</v>
      </c>
      <c r="S461" s="50">
        <v>43.5</v>
      </c>
      <c r="T461" s="50">
        <v>57</v>
      </c>
      <c r="U461" s="50">
        <v>6.58</v>
      </c>
      <c r="V461" s="50">
        <v>64.7</v>
      </c>
      <c r="W461" s="50">
        <v>67</v>
      </c>
      <c r="X461" s="50">
        <v>528</v>
      </c>
      <c r="Y461" s="50">
        <v>10.02</v>
      </c>
      <c r="Z461" s="50">
        <v>40.1</v>
      </c>
      <c r="AA461" s="50">
        <v>7.04</v>
      </c>
      <c r="AB461" s="50"/>
      <c r="AC461" s="50"/>
      <c r="AD461" s="50"/>
      <c r="AE461" s="50"/>
      <c r="AF461" s="50"/>
      <c r="AG461" s="50"/>
      <c r="AH461" s="50"/>
      <c r="AI461" s="50"/>
      <c r="AJ461" s="50"/>
    </row>
    <row r="462" spans="1:36" ht="15" customHeight="1" x14ac:dyDescent="0.25">
      <c r="A462" s="50">
        <v>93</v>
      </c>
      <c r="B462" s="50" t="s">
        <v>925</v>
      </c>
      <c r="C462" s="50" t="s">
        <v>1357</v>
      </c>
      <c r="D462" s="50">
        <v>37</v>
      </c>
      <c r="E462" s="50" t="s">
        <v>1355</v>
      </c>
      <c r="F462" s="50">
        <v>0</v>
      </c>
      <c r="G462" s="50">
        <v>6.9</v>
      </c>
      <c r="H462" s="50">
        <v>35</v>
      </c>
      <c r="I462" s="50">
        <v>4.21</v>
      </c>
      <c r="J462" s="50">
        <v>101</v>
      </c>
      <c r="K462" s="50">
        <v>100</v>
      </c>
      <c r="L462" s="50">
        <v>6.67</v>
      </c>
      <c r="M462" s="50">
        <v>5.48</v>
      </c>
      <c r="N462" s="50">
        <v>41</v>
      </c>
      <c r="O462" s="50">
        <v>16.8</v>
      </c>
      <c r="P462" s="50">
        <v>10.3</v>
      </c>
      <c r="Q462" s="50">
        <v>31</v>
      </c>
      <c r="R462" s="50">
        <v>32.700000000000003</v>
      </c>
      <c r="S462" s="50">
        <v>19</v>
      </c>
      <c r="T462" s="50">
        <v>48</v>
      </c>
      <c r="U462" s="50">
        <v>7.21</v>
      </c>
      <c r="V462" s="50">
        <v>52.2</v>
      </c>
      <c r="W462" s="50">
        <v>54</v>
      </c>
      <c r="X462" s="50">
        <v>380</v>
      </c>
      <c r="Y462" s="50">
        <v>13.7</v>
      </c>
      <c r="Z462" s="50">
        <v>23.3</v>
      </c>
      <c r="AA462" s="50">
        <v>4.32</v>
      </c>
      <c r="AB462" s="50"/>
      <c r="AC462" s="50"/>
      <c r="AD462" s="50"/>
      <c r="AE462" s="50"/>
      <c r="AF462" s="50"/>
      <c r="AG462" s="50"/>
      <c r="AH462" s="50"/>
      <c r="AI462" s="50"/>
      <c r="AJ462" s="50"/>
    </row>
    <row r="463" spans="1:36" ht="15" customHeight="1" x14ac:dyDescent="0.25">
      <c r="A463" s="50">
        <v>93</v>
      </c>
      <c r="B463" s="50" t="s">
        <v>925</v>
      </c>
      <c r="C463" s="50" t="s">
        <v>1357</v>
      </c>
      <c r="D463" s="50">
        <v>37</v>
      </c>
      <c r="E463" s="50" t="s">
        <v>1355</v>
      </c>
      <c r="F463" s="50">
        <v>4</v>
      </c>
      <c r="G463" s="50">
        <v>6.2</v>
      </c>
      <c r="H463" s="50">
        <v>31</v>
      </c>
      <c r="I463" s="50">
        <v>3.78</v>
      </c>
      <c r="J463" s="50">
        <v>108</v>
      </c>
      <c r="K463" s="50">
        <v>91</v>
      </c>
      <c r="L463" s="50">
        <v>6.19</v>
      </c>
      <c r="M463" s="50">
        <v>4.97</v>
      </c>
      <c r="N463" s="50">
        <v>37</v>
      </c>
      <c r="O463" s="50">
        <v>15.2</v>
      </c>
      <c r="P463" s="50">
        <v>9.3000000000000007</v>
      </c>
      <c r="Q463" s="50">
        <v>31.6</v>
      </c>
      <c r="R463" s="50">
        <v>37.6</v>
      </c>
      <c r="S463" s="50">
        <v>23.5</v>
      </c>
      <c r="T463" s="50">
        <v>49</v>
      </c>
      <c r="U463" s="50">
        <v>5.96</v>
      </c>
      <c r="V463" s="50">
        <v>52.4</v>
      </c>
      <c r="W463" s="50">
        <v>56</v>
      </c>
      <c r="X463" s="50">
        <v>390</v>
      </c>
      <c r="Y463" s="50">
        <v>13.49</v>
      </c>
      <c r="Z463" s="50">
        <v>25.4</v>
      </c>
      <c r="AA463" s="50">
        <v>4.5999999999999996</v>
      </c>
      <c r="AB463" s="50"/>
      <c r="AC463" s="50"/>
      <c r="AD463" s="50"/>
      <c r="AE463" s="50"/>
      <c r="AF463" s="50"/>
      <c r="AG463" s="50"/>
      <c r="AH463" s="50"/>
      <c r="AI463" s="50"/>
      <c r="AJ463" s="50"/>
    </row>
    <row r="464" spans="1:36" ht="15" customHeight="1" x14ac:dyDescent="0.25">
      <c r="A464" s="50">
        <v>93</v>
      </c>
      <c r="B464" s="50" t="s">
        <v>925</v>
      </c>
      <c r="C464" s="50" t="s">
        <v>1357</v>
      </c>
      <c r="D464" s="50">
        <v>37</v>
      </c>
      <c r="E464" s="50" t="s">
        <v>1355</v>
      </c>
      <c r="F464" s="50">
        <v>8</v>
      </c>
      <c r="G464" s="50">
        <v>5.6</v>
      </c>
      <c r="H464" s="50">
        <v>28</v>
      </c>
      <c r="I464" s="50">
        <v>3.38</v>
      </c>
      <c r="J464" s="50">
        <v>113</v>
      </c>
      <c r="K464" s="50">
        <v>83</v>
      </c>
      <c r="L464" s="50">
        <v>5.54</v>
      </c>
      <c r="M464" s="50">
        <v>4.42</v>
      </c>
      <c r="N464" s="50">
        <v>33</v>
      </c>
      <c r="O464" s="50">
        <v>14.8</v>
      </c>
      <c r="P464" s="50">
        <v>9.4</v>
      </c>
      <c r="Q464" s="50">
        <v>30.6</v>
      </c>
      <c r="R464" s="50">
        <v>41.1</v>
      </c>
      <c r="S464" s="50">
        <v>26</v>
      </c>
      <c r="T464" s="50">
        <v>55</v>
      </c>
      <c r="U464" s="50">
        <v>6.25</v>
      </c>
      <c r="V464" s="50">
        <v>53.8</v>
      </c>
      <c r="W464" s="50">
        <v>60</v>
      </c>
      <c r="X464" s="50">
        <v>413</v>
      </c>
      <c r="Y464" s="50">
        <v>13.65</v>
      </c>
      <c r="Z464" s="50">
        <v>28</v>
      </c>
      <c r="AA464" s="50">
        <v>4.8099999999999996</v>
      </c>
      <c r="AB464" s="50"/>
      <c r="AC464" s="50"/>
      <c r="AD464" s="50"/>
      <c r="AE464" s="50"/>
      <c r="AF464" s="50"/>
      <c r="AG464" s="50"/>
      <c r="AH464" s="50"/>
      <c r="AI464" s="50"/>
      <c r="AJ464" s="50"/>
    </row>
    <row r="465" spans="1:36" ht="15" customHeight="1" x14ac:dyDescent="0.25">
      <c r="A465" s="50">
        <v>93</v>
      </c>
      <c r="B465" s="50" t="s">
        <v>925</v>
      </c>
      <c r="C465" s="50" t="s">
        <v>1357</v>
      </c>
      <c r="D465" s="50">
        <v>37</v>
      </c>
      <c r="E465" s="50" t="s">
        <v>1355</v>
      </c>
      <c r="F465" s="50">
        <v>12</v>
      </c>
      <c r="G465" s="50">
        <v>4.7</v>
      </c>
      <c r="H465" s="50">
        <v>24</v>
      </c>
      <c r="I465" s="50">
        <v>3.02</v>
      </c>
      <c r="J465" s="50">
        <v>115</v>
      </c>
      <c r="K465" s="50">
        <v>74</v>
      </c>
      <c r="L465" s="50">
        <v>4.84</v>
      </c>
      <c r="M465" s="50">
        <v>4.2699999999999996</v>
      </c>
      <c r="N465" s="50">
        <v>31</v>
      </c>
      <c r="O465" s="50">
        <v>12.7</v>
      </c>
      <c r="P465" s="50">
        <v>9.1</v>
      </c>
      <c r="Q465" s="50">
        <v>26.3</v>
      </c>
      <c r="R465" s="50">
        <v>46</v>
      </c>
      <c r="S465" s="50">
        <v>27</v>
      </c>
      <c r="T465" s="50">
        <v>57</v>
      </c>
      <c r="U465" s="50">
        <v>5.28</v>
      </c>
      <c r="V465" s="50">
        <v>55.7</v>
      </c>
      <c r="W465" s="50">
        <v>65</v>
      </c>
      <c r="X465" s="50">
        <v>409</v>
      </c>
      <c r="Y465" s="50">
        <v>12.66</v>
      </c>
      <c r="Z465" s="50">
        <v>29.9</v>
      </c>
      <c r="AA465" s="50">
        <v>5.5</v>
      </c>
      <c r="AB465" s="50"/>
      <c r="AC465" s="50"/>
      <c r="AD465" s="50"/>
      <c r="AE465" s="50"/>
      <c r="AF465" s="50"/>
      <c r="AG465" s="50"/>
      <c r="AH465" s="50"/>
      <c r="AI465" s="50"/>
      <c r="AJ465" s="50"/>
    </row>
    <row r="466" spans="1:36" ht="15" customHeight="1" x14ac:dyDescent="0.25">
      <c r="A466" s="50">
        <v>93</v>
      </c>
      <c r="B466" s="50" t="s">
        <v>925</v>
      </c>
      <c r="C466" s="50" t="s">
        <v>1357</v>
      </c>
      <c r="D466" s="50">
        <v>37</v>
      </c>
      <c r="E466" s="50" t="s">
        <v>1355</v>
      </c>
      <c r="F466" s="50">
        <v>21</v>
      </c>
      <c r="G466" s="50">
        <v>3</v>
      </c>
      <c r="H466" s="50">
        <v>13</v>
      </c>
      <c r="I466" s="50">
        <v>2.1800000000000002</v>
      </c>
      <c r="J466" s="50">
        <v>129</v>
      </c>
      <c r="K466" s="50">
        <v>55</v>
      </c>
      <c r="L466" s="50">
        <v>3.23</v>
      </c>
      <c r="M466" s="50">
        <v>2.83</v>
      </c>
      <c r="N466" s="50">
        <v>26</v>
      </c>
      <c r="O466" s="50">
        <v>10.8</v>
      </c>
      <c r="P466" s="50">
        <v>9.3000000000000007</v>
      </c>
      <c r="Q466" s="50">
        <v>23.3</v>
      </c>
      <c r="R466" s="50">
        <v>56.3</v>
      </c>
      <c r="S466" s="50">
        <v>38.700000000000003</v>
      </c>
      <c r="T466" s="50">
        <v>64</v>
      </c>
      <c r="U466" s="50">
        <v>4.8</v>
      </c>
      <c r="V466" s="50">
        <v>60.8</v>
      </c>
      <c r="W466" s="50">
        <v>69</v>
      </c>
      <c r="X466" s="50">
        <v>448</v>
      </c>
      <c r="Y466" s="50">
        <v>11.76</v>
      </c>
      <c r="Z466" s="50">
        <v>36.299999999999997</v>
      </c>
      <c r="AA466" s="50">
        <v>5.99</v>
      </c>
      <c r="AB466" s="50"/>
      <c r="AC466" s="50"/>
      <c r="AD466" s="50"/>
      <c r="AE466" s="50"/>
      <c r="AF466" s="50"/>
      <c r="AG466" s="50"/>
      <c r="AH466" s="50"/>
      <c r="AI466" s="50"/>
      <c r="AJ466" s="50"/>
    </row>
    <row r="467" spans="1:36" ht="15" customHeight="1" x14ac:dyDescent="0.25">
      <c r="A467" s="50">
        <v>94</v>
      </c>
      <c r="B467" s="50" t="s">
        <v>925</v>
      </c>
      <c r="C467" s="50" t="s">
        <v>1357</v>
      </c>
      <c r="D467" s="50">
        <v>43</v>
      </c>
      <c r="E467" s="50" t="s">
        <v>1359</v>
      </c>
      <c r="F467" s="50">
        <v>0</v>
      </c>
      <c r="G467" s="50">
        <v>7.4</v>
      </c>
      <c r="H467" s="50">
        <v>51</v>
      </c>
      <c r="I467" s="50">
        <v>3.23</v>
      </c>
      <c r="J467" s="50">
        <v>90</v>
      </c>
      <c r="K467" s="50">
        <v>100</v>
      </c>
      <c r="L467" s="50">
        <v>7.03</v>
      </c>
      <c r="M467" s="50">
        <v>5.68</v>
      </c>
      <c r="N467" s="50">
        <v>40</v>
      </c>
      <c r="O467" s="50">
        <v>11.6</v>
      </c>
      <c r="P467" s="50">
        <v>12.5</v>
      </c>
      <c r="Q467" s="50">
        <v>40.5</v>
      </c>
      <c r="R467" s="50">
        <v>29.6</v>
      </c>
      <c r="S467" s="50">
        <v>8.8000000000000007</v>
      </c>
      <c r="T467" s="50">
        <v>44</v>
      </c>
      <c r="U467" s="50">
        <v>7.81</v>
      </c>
      <c r="V467" s="50">
        <v>65.5</v>
      </c>
      <c r="W467" s="50">
        <v>46</v>
      </c>
      <c r="X467" s="50">
        <v>428</v>
      </c>
      <c r="Y467" s="50">
        <v>9.11</v>
      </c>
      <c r="Z467" s="50">
        <v>28.9</v>
      </c>
      <c r="AA467" s="50">
        <v>5.92</v>
      </c>
      <c r="AB467" s="50"/>
      <c r="AC467" s="50"/>
      <c r="AD467" s="50"/>
      <c r="AE467" s="50"/>
      <c r="AF467" s="50"/>
      <c r="AG467" s="50"/>
      <c r="AH467" s="50"/>
      <c r="AI467" s="50"/>
      <c r="AJ467" s="50"/>
    </row>
    <row r="468" spans="1:36" ht="15" customHeight="1" x14ac:dyDescent="0.25">
      <c r="A468" s="50">
        <v>94</v>
      </c>
      <c r="B468" s="50" t="s">
        <v>925</v>
      </c>
      <c r="C468" s="50" t="s">
        <v>1357</v>
      </c>
      <c r="D468" s="50">
        <v>43</v>
      </c>
      <c r="E468" s="50" t="s">
        <v>1359</v>
      </c>
      <c r="F468" s="50">
        <v>4</v>
      </c>
      <c r="G468" s="50">
        <v>6.4</v>
      </c>
      <c r="H468" s="50">
        <v>48</v>
      </c>
      <c r="I468" s="50">
        <v>2.79</v>
      </c>
      <c r="J468" s="50">
        <v>93</v>
      </c>
      <c r="K468" s="50">
        <v>91</v>
      </c>
      <c r="L468" s="50">
        <v>6.29</v>
      </c>
      <c r="M468" s="50">
        <v>5.22</v>
      </c>
      <c r="N468" s="50">
        <v>34</v>
      </c>
      <c r="O468" s="50">
        <v>10.8</v>
      </c>
      <c r="P468" s="50">
        <v>12.1</v>
      </c>
      <c r="Q468" s="50">
        <v>38.700000000000003</v>
      </c>
      <c r="R468" s="50">
        <v>36.799999999999997</v>
      </c>
      <c r="S468" s="50">
        <v>12.6</v>
      </c>
      <c r="T468" s="50">
        <v>50</v>
      </c>
      <c r="U468" s="50">
        <v>7.06</v>
      </c>
      <c r="V468" s="50">
        <v>64.8</v>
      </c>
      <c r="W468" s="50">
        <v>50</v>
      </c>
      <c r="X468" s="50">
        <v>433</v>
      </c>
      <c r="Y468" s="50">
        <v>9.17</v>
      </c>
      <c r="Z468" s="50">
        <v>30.8</v>
      </c>
      <c r="AA468" s="50">
        <v>6.04</v>
      </c>
      <c r="AB468" s="50"/>
      <c r="AC468" s="50"/>
      <c r="AD468" s="50"/>
      <c r="AE468" s="50"/>
      <c r="AF468" s="50"/>
      <c r="AG468" s="50"/>
      <c r="AH468" s="50"/>
      <c r="AI468" s="50"/>
      <c r="AJ468" s="50"/>
    </row>
    <row r="469" spans="1:36" ht="15" customHeight="1" x14ac:dyDescent="0.25">
      <c r="A469" s="50">
        <v>94</v>
      </c>
      <c r="B469" s="50" t="s">
        <v>925</v>
      </c>
      <c r="C469" s="50" t="s">
        <v>1357</v>
      </c>
      <c r="D469" s="50">
        <v>43</v>
      </c>
      <c r="E469" s="50" t="s">
        <v>1359</v>
      </c>
      <c r="F469" s="50">
        <v>8</v>
      </c>
      <c r="G469" s="50">
        <v>5.7</v>
      </c>
      <c r="H469" s="50">
        <v>45</v>
      </c>
      <c r="I469" s="50">
        <v>2.57</v>
      </c>
      <c r="J469" s="50">
        <v>101</v>
      </c>
      <c r="K469" s="50">
        <v>83</v>
      </c>
      <c r="L469" s="50">
        <v>5.59</v>
      </c>
      <c r="M469" s="50">
        <v>4.78</v>
      </c>
      <c r="N469" s="50">
        <v>34</v>
      </c>
      <c r="O469" s="50">
        <v>10.199999999999999</v>
      </c>
      <c r="P469" s="50">
        <v>12.2</v>
      </c>
      <c r="Q469" s="50">
        <v>34.5</v>
      </c>
      <c r="R469" s="50">
        <v>40.799999999999997</v>
      </c>
      <c r="S469" s="50">
        <v>15.9</v>
      </c>
      <c r="T469" s="50">
        <v>54</v>
      </c>
      <c r="U469" s="50">
        <v>6.21</v>
      </c>
      <c r="V469" s="50">
        <v>67.599999999999994</v>
      </c>
      <c r="W469" s="50">
        <v>56</v>
      </c>
      <c r="X469" s="50">
        <v>449</v>
      </c>
      <c r="Y469" s="50">
        <v>8.81</v>
      </c>
      <c r="Z469" s="50">
        <v>30.5</v>
      </c>
      <c r="AA469" s="50">
        <v>6.18</v>
      </c>
      <c r="AB469" s="50"/>
      <c r="AC469" s="50"/>
      <c r="AD469" s="50"/>
      <c r="AE469" s="50"/>
      <c r="AF469" s="50"/>
      <c r="AG469" s="50"/>
      <c r="AH469" s="50"/>
      <c r="AI469" s="50"/>
      <c r="AJ469" s="50"/>
    </row>
    <row r="470" spans="1:36" ht="15" customHeight="1" x14ac:dyDescent="0.25">
      <c r="A470" s="50">
        <v>94</v>
      </c>
      <c r="B470" s="50" t="s">
        <v>925</v>
      </c>
      <c r="C470" s="50" t="s">
        <v>1357</v>
      </c>
      <c r="D470" s="50">
        <v>43</v>
      </c>
      <c r="E470" s="50" t="s">
        <v>1359</v>
      </c>
      <c r="F470" s="50">
        <v>12</v>
      </c>
      <c r="G470" s="50">
        <v>4.7</v>
      </c>
      <c r="H470" s="50">
        <v>40</v>
      </c>
      <c r="I470" s="50">
        <v>2.2799999999999998</v>
      </c>
      <c r="J470" s="50">
        <v>104</v>
      </c>
      <c r="K470" s="50">
        <v>74</v>
      </c>
      <c r="L470" s="50">
        <v>4.21</v>
      </c>
      <c r="M470" s="50">
        <v>4.3600000000000003</v>
      </c>
      <c r="N470" s="50">
        <v>33</v>
      </c>
      <c r="O470" s="50">
        <v>10</v>
      </c>
      <c r="P470" s="50">
        <v>10.3</v>
      </c>
      <c r="Q470" s="50">
        <v>34</v>
      </c>
      <c r="R470" s="50">
        <v>48.1</v>
      </c>
      <c r="S470" s="50">
        <v>22.9</v>
      </c>
      <c r="T470" s="50">
        <v>50</v>
      </c>
      <c r="U470" s="50">
        <v>6.63</v>
      </c>
      <c r="V470" s="50">
        <v>71.5</v>
      </c>
      <c r="W470" s="50">
        <v>61</v>
      </c>
      <c r="X470" s="50">
        <v>477</v>
      </c>
      <c r="Y470" s="50">
        <v>8.98</v>
      </c>
      <c r="Z470" s="50">
        <v>30.9</v>
      </c>
      <c r="AA470" s="50">
        <v>6.23</v>
      </c>
      <c r="AB470" s="50"/>
      <c r="AC470" s="50"/>
      <c r="AD470" s="50"/>
      <c r="AE470" s="50"/>
      <c r="AF470" s="50"/>
      <c r="AG470" s="50"/>
      <c r="AH470" s="50"/>
      <c r="AI470" s="50"/>
      <c r="AJ470" s="50"/>
    </row>
    <row r="471" spans="1:36" ht="15" customHeight="1" x14ac:dyDescent="0.25">
      <c r="A471" s="50">
        <v>94</v>
      </c>
      <c r="B471" s="50" t="s">
        <v>925</v>
      </c>
      <c r="C471" s="50" t="s">
        <v>1357</v>
      </c>
      <c r="D471" s="50">
        <v>43</v>
      </c>
      <c r="E471" s="50" t="s">
        <v>1359</v>
      </c>
      <c r="F471" s="50">
        <v>21</v>
      </c>
      <c r="G471" s="50">
        <v>2.7</v>
      </c>
      <c r="H471" s="50">
        <v>33</v>
      </c>
      <c r="I471" s="50">
        <v>1.65</v>
      </c>
      <c r="J471" s="50">
        <v>112</v>
      </c>
      <c r="K471" s="50">
        <v>55</v>
      </c>
      <c r="L471" s="50">
        <v>2.5</v>
      </c>
      <c r="M471" s="50">
        <v>3.02</v>
      </c>
      <c r="N471" s="50">
        <v>28</v>
      </c>
      <c r="O471" s="50">
        <v>8.1</v>
      </c>
      <c r="P471" s="50">
        <v>9.6</v>
      </c>
      <c r="Q471" s="50">
        <v>29.6</v>
      </c>
      <c r="R471" s="50">
        <v>56</v>
      </c>
      <c r="S471" s="50">
        <v>29.2</v>
      </c>
      <c r="T471" s="50">
        <v>59</v>
      </c>
      <c r="U471" s="50">
        <v>3.83</v>
      </c>
      <c r="V471" s="50">
        <v>73.8</v>
      </c>
      <c r="W471" s="50">
        <v>65</v>
      </c>
      <c r="X471" s="50">
        <v>516</v>
      </c>
      <c r="Y471" s="50">
        <v>8.5399999999999991</v>
      </c>
      <c r="Z471" s="50">
        <v>37.299999999999997</v>
      </c>
      <c r="AA471" s="50">
        <v>6.56</v>
      </c>
      <c r="AB471" s="50"/>
      <c r="AC471" s="50"/>
      <c r="AD471" s="50"/>
      <c r="AE471" s="50"/>
      <c r="AF471" s="50"/>
      <c r="AG471" s="50"/>
      <c r="AH471" s="50"/>
      <c r="AI471" s="50"/>
      <c r="AJ471" s="50"/>
    </row>
    <row r="472" spans="1:36" ht="15" customHeight="1" x14ac:dyDescent="0.25">
      <c r="A472" s="50">
        <v>95</v>
      </c>
      <c r="B472" s="50" t="s">
        <v>925</v>
      </c>
      <c r="C472" s="50" t="s">
        <v>1352</v>
      </c>
      <c r="D472" s="50">
        <v>36</v>
      </c>
      <c r="E472" s="50" t="s">
        <v>1359</v>
      </c>
      <c r="F472" s="50">
        <v>0</v>
      </c>
      <c r="G472" s="50">
        <v>7.8</v>
      </c>
      <c r="H472" s="50">
        <v>48</v>
      </c>
      <c r="I472" s="50">
        <v>3.96</v>
      </c>
      <c r="J472" s="50">
        <v>97</v>
      </c>
      <c r="K472" s="50">
        <v>100</v>
      </c>
      <c r="L472" s="50">
        <v>6.39</v>
      </c>
      <c r="M472" s="50">
        <v>6.64</v>
      </c>
      <c r="N472" s="50">
        <v>35</v>
      </c>
      <c r="O472" s="50">
        <v>13.2</v>
      </c>
      <c r="P472" s="50">
        <v>11</v>
      </c>
      <c r="Q472" s="50">
        <v>51.8</v>
      </c>
      <c r="R472" s="50">
        <v>31.1</v>
      </c>
      <c r="S472" s="50">
        <v>15.1</v>
      </c>
      <c r="T472" s="50">
        <v>35</v>
      </c>
      <c r="U472" s="50">
        <v>8.5399999999999991</v>
      </c>
      <c r="V472" s="50">
        <v>55.8</v>
      </c>
      <c r="W472" s="50">
        <v>41</v>
      </c>
      <c r="X472" s="50">
        <v>319</v>
      </c>
      <c r="Y472" s="50">
        <v>15.99</v>
      </c>
      <c r="Z472" s="50">
        <v>26.3</v>
      </c>
      <c r="AA472" s="50">
        <v>5.26</v>
      </c>
      <c r="AB472" s="50"/>
      <c r="AC472" s="50"/>
      <c r="AD472" s="50"/>
      <c r="AE472" s="50"/>
      <c r="AF472" s="50"/>
      <c r="AG472" s="50"/>
      <c r="AH472" s="50"/>
      <c r="AI472" s="50"/>
      <c r="AJ472" s="50"/>
    </row>
    <row r="473" spans="1:36" ht="15" customHeight="1" x14ac:dyDescent="0.25">
      <c r="A473" s="50">
        <v>95</v>
      </c>
      <c r="B473" s="50" t="s">
        <v>925</v>
      </c>
      <c r="C473" s="50" t="s">
        <v>1352</v>
      </c>
      <c r="D473" s="50">
        <v>36</v>
      </c>
      <c r="E473" s="50" t="s">
        <v>1359</v>
      </c>
      <c r="F473" s="50">
        <v>4</v>
      </c>
      <c r="G473" s="50">
        <v>7</v>
      </c>
      <c r="H473" s="50">
        <v>47</v>
      </c>
      <c r="I473" s="50">
        <v>3.58</v>
      </c>
      <c r="J473" s="50">
        <v>100</v>
      </c>
      <c r="K473" s="50">
        <v>91</v>
      </c>
      <c r="L473" s="50">
        <v>5.84</v>
      </c>
      <c r="M473" s="50">
        <v>5.92</v>
      </c>
      <c r="N473" s="50">
        <v>35</v>
      </c>
      <c r="O473" s="50">
        <v>12.2</v>
      </c>
      <c r="P473" s="50">
        <v>10.199999999999999</v>
      </c>
      <c r="Q473" s="50">
        <v>48.5</v>
      </c>
      <c r="R473" s="50">
        <v>37.5</v>
      </c>
      <c r="S473" s="50">
        <v>16.899999999999999</v>
      </c>
      <c r="T473" s="50">
        <v>44</v>
      </c>
      <c r="U473" s="50">
        <v>7.49</v>
      </c>
      <c r="V473" s="50">
        <v>58.4</v>
      </c>
      <c r="W473" s="50">
        <v>44</v>
      </c>
      <c r="X473" s="50">
        <v>356</v>
      </c>
      <c r="Y473" s="50">
        <v>15.93</v>
      </c>
      <c r="Z473" s="50">
        <v>30.7</v>
      </c>
      <c r="AA473" s="50">
        <v>5.74</v>
      </c>
      <c r="AB473" s="50"/>
      <c r="AC473" s="50"/>
      <c r="AD473" s="50"/>
      <c r="AE473" s="50"/>
      <c r="AF473" s="50"/>
      <c r="AG473" s="50"/>
      <c r="AH473" s="50"/>
      <c r="AI473" s="50"/>
      <c r="AJ473" s="50"/>
    </row>
    <row r="474" spans="1:36" ht="15" customHeight="1" x14ac:dyDescent="0.25">
      <c r="A474" s="50">
        <v>95</v>
      </c>
      <c r="B474" s="50" t="s">
        <v>925</v>
      </c>
      <c r="C474" s="50" t="s">
        <v>1352</v>
      </c>
      <c r="D474" s="50">
        <v>36</v>
      </c>
      <c r="E474" s="50" t="s">
        <v>1359</v>
      </c>
      <c r="F474" s="50">
        <v>8</v>
      </c>
      <c r="G474" s="50">
        <v>6</v>
      </c>
      <c r="H474" s="50">
        <v>40</v>
      </c>
      <c r="I474" s="50">
        <v>3.29</v>
      </c>
      <c r="J474" s="50">
        <v>107</v>
      </c>
      <c r="K474" s="50">
        <v>83</v>
      </c>
      <c r="L474" s="50">
        <v>5.29</v>
      </c>
      <c r="M474" s="50">
        <v>5.44</v>
      </c>
      <c r="N474" s="50">
        <v>35</v>
      </c>
      <c r="O474" s="50">
        <v>11.8</v>
      </c>
      <c r="P474" s="50">
        <v>10.5</v>
      </c>
      <c r="Q474" s="50">
        <v>41.2</v>
      </c>
      <c r="R474" s="50">
        <v>41.3</v>
      </c>
      <c r="S474" s="50">
        <v>22.5</v>
      </c>
      <c r="T474" s="50">
        <v>45</v>
      </c>
      <c r="U474" s="50">
        <v>7.24</v>
      </c>
      <c r="V474" s="50">
        <v>61.2</v>
      </c>
      <c r="W474" s="50">
        <v>51</v>
      </c>
      <c r="X474" s="50">
        <v>360</v>
      </c>
      <c r="Y474" s="50">
        <v>15.16</v>
      </c>
      <c r="Z474" s="50">
        <v>32</v>
      </c>
      <c r="AA474" s="50">
        <v>5.74</v>
      </c>
      <c r="AB474" s="50"/>
      <c r="AC474" s="50"/>
      <c r="AD474" s="50"/>
      <c r="AE474" s="50"/>
      <c r="AF474" s="50"/>
      <c r="AG474" s="50"/>
      <c r="AH474" s="50"/>
      <c r="AI474" s="50"/>
      <c r="AJ474" s="50"/>
    </row>
    <row r="475" spans="1:36" ht="15" customHeight="1" x14ac:dyDescent="0.25">
      <c r="A475" s="50">
        <v>95</v>
      </c>
      <c r="B475" s="50" t="s">
        <v>925</v>
      </c>
      <c r="C475" s="50" t="s">
        <v>1352</v>
      </c>
      <c r="D475" s="50">
        <v>36</v>
      </c>
      <c r="E475" s="50" t="s">
        <v>1359</v>
      </c>
      <c r="F475" s="50">
        <v>12</v>
      </c>
      <c r="G475" s="50">
        <v>5.0999999999999996</v>
      </c>
      <c r="H475" s="50">
        <v>38</v>
      </c>
      <c r="I475" s="50">
        <v>2.8</v>
      </c>
      <c r="J475" s="50">
        <v>114</v>
      </c>
      <c r="K475" s="50">
        <v>74</v>
      </c>
      <c r="L475" s="50">
        <v>4.4800000000000004</v>
      </c>
      <c r="M475" s="50">
        <v>4.5199999999999996</v>
      </c>
      <c r="N475" s="50">
        <v>33</v>
      </c>
      <c r="O475" s="50">
        <v>10.8</v>
      </c>
      <c r="P475" s="50">
        <v>10.6</v>
      </c>
      <c r="Q475" s="50">
        <v>38.700000000000003</v>
      </c>
      <c r="R475" s="50">
        <v>44.9</v>
      </c>
      <c r="S475" s="50">
        <v>23.8</v>
      </c>
      <c r="T475" s="50">
        <v>47</v>
      </c>
      <c r="U475" s="50">
        <v>7.44</v>
      </c>
      <c r="V475" s="50">
        <v>61.9</v>
      </c>
      <c r="W475" s="50">
        <v>55</v>
      </c>
      <c r="X475" s="50">
        <v>404</v>
      </c>
      <c r="Y475" s="50">
        <v>13.45</v>
      </c>
      <c r="Z475" s="50">
        <v>34.200000000000003</v>
      </c>
      <c r="AA475" s="50">
        <v>5.38</v>
      </c>
      <c r="AB475" s="50"/>
      <c r="AC475" s="50"/>
      <c r="AD475" s="50"/>
      <c r="AE475" s="50"/>
      <c r="AF475" s="50"/>
      <c r="AG475" s="50"/>
      <c r="AH475" s="50"/>
      <c r="AI475" s="50"/>
      <c r="AJ475" s="50"/>
    </row>
    <row r="476" spans="1:36" ht="15" customHeight="1" x14ac:dyDescent="0.25">
      <c r="A476" s="50">
        <v>95</v>
      </c>
      <c r="B476" s="50" t="s">
        <v>925</v>
      </c>
      <c r="C476" s="50" t="s">
        <v>1352</v>
      </c>
      <c r="D476" s="50">
        <v>36</v>
      </c>
      <c r="E476" s="50" t="s">
        <v>1359</v>
      </c>
      <c r="F476" s="50">
        <v>21</v>
      </c>
      <c r="G476" s="50">
        <v>3.2</v>
      </c>
      <c r="H476" s="50">
        <v>31</v>
      </c>
      <c r="I476" s="50">
        <v>1.96</v>
      </c>
      <c r="J476" s="50">
        <v>125</v>
      </c>
      <c r="K476" s="50">
        <v>55</v>
      </c>
      <c r="L476" s="50">
        <v>3.1</v>
      </c>
      <c r="M476" s="50">
        <v>2.5</v>
      </c>
      <c r="N476" s="50">
        <v>29</v>
      </c>
      <c r="O476" s="50">
        <v>10.5</v>
      </c>
      <c r="P476" s="50">
        <v>8.6999999999999993</v>
      </c>
      <c r="Q476" s="50">
        <v>23.9</v>
      </c>
      <c r="R476" s="50">
        <v>57.7</v>
      </c>
      <c r="S476" s="50">
        <v>31.7</v>
      </c>
      <c r="T476" s="50">
        <v>66</v>
      </c>
      <c r="U476" s="50">
        <v>5.37</v>
      </c>
      <c r="V476" s="50">
        <v>69.2</v>
      </c>
      <c r="W476" s="50">
        <v>65</v>
      </c>
      <c r="X476" s="50">
        <v>455</v>
      </c>
      <c r="Y476" s="50">
        <v>12.87</v>
      </c>
      <c r="Z476" s="50">
        <v>40.200000000000003</v>
      </c>
      <c r="AA476" s="50">
        <v>5.95</v>
      </c>
      <c r="AB476" s="50"/>
      <c r="AC476" s="50"/>
      <c r="AD476" s="50"/>
      <c r="AE476" s="50"/>
      <c r="AF476" s="50"/>
      <c r="AG476" s="50"/>
      <c r="AH476" s="50"/>
      <c r="AI476" s="50"/>
      <c r="AJ476" s="50"/>
    </row>
    <row r="477" spans="1:36" ht="15" customHeight="1" x14ac:dyDescent="0.25">
      <c r="A477" s="50">
        <v>96</v>
      </c>
      <c r="B477" s="50" t="s">
        <v>925</v>
      </c>
      <c r="C477" s="50" t="s">
        <v>1357</v>
      </c>
      <c r="D477" s="50">
        <v>47</v>
      </c>
      <c r="E477" s="50" t="s">
        <v>1353</v>
      </c>
      <c r="F477" s="50">
        <v>0</v>
      </c>
      <c r="G477" s="50">
        <v>7.1</v>
      </c>
      <c r="H477" s="50">
        <v>42</v>
      </c>
      <c r="I477" s="50">
        <v>2.89</v>
      </c>
      <c r="J477" s="50">
        <v>85</v>
      </c>
      <c r="K477" s="50">
        <v>100</v>
      </c>
      <c r="L477" s="50">
        <v>7.92</v>
      </c>
      <c r="M477" s="50">
        <v>6.45</v>
      </c>
      <c r="N477" s="50">
        <v>42</v>
      </c>
      <c r="O477" s="50">
        <v>9.6999999999999993</v>
      </c>
      <c r="P477" s="50">
        <v>13.7</v>
      </c>
      <c r="Q477" s="50">
        <v>56.9</v>
      </c>
      <c r="R477" s="50">
        <v>22.7</v>
      </c>
      <c r="S477" s="50">
        <v>18.7</v>
      </c>
      <c r="T477" s="50">
        <v>27</v>
      </c>
      <c r="U477" s="50">
        <v>8.09</v>
      </c>
      <c r="V477" s="50">
        <v>63</v>
      </c>
      <c r="W477" s="50">
        <v>46</v>
      </c>
      <c r="X477" s="50">
        <v>377</v>
      </c>
      <c r="Y477" s="50">
        <v>16.809999999999999</v>
      </c>
      <c r="Z477" s="50">
        <v>23.1</v>
      </c>
      <c r="AA477" s="50">
        <v>3.84</v>
      </c>
      <c r="AB477" s="50"/>
      <c r="AC477" s="50"/>
      <c r="AD477" s="50"/>
      <c r="AE477" s="50"/>
      <c r="AF477" s="50"/>
      <c r="AG477" s="50"/>
      <c r="AH477" s="50"/>
      <c r="AI477" s="50"/>
      <c r="AJ477" s="50"/>
    </row>
    <row r="478" spans="1:36" ht="15" customHeight="1" x14ac:dyDescent="0.25">
      <c r="A478" s="50">
        <v>96</v>
      </c>
      <c r="B478" s="50" t="s">
        <v>925</v>
      </c>
      <c r="C478" s="50" t="s">
        <v>1357</v>
      </c>
      <c r="D478" s="50">
        <v>47</v>
      </c>
      <c r="E478" s="50" t="s">
        <v>1353</v>
      </c>
      <c r="F478" s="50">
        <v>4</v>
      </c>
      <c r="G478" s="50">
        <v>6</v>
      </c>
      <c r="H478" s="50">
        <v>38</v>
      </c>
      <c r="I478" s="50">
        <v>2.71</v>
      </c>
      <c r="J478" s="50">
        <v>92</v>
      </c>
      <c r="K478" s="50">
        <v>91</v>
      </c>
      <c r="L478" s="50">
        <v>6.8</v>
      </c>
      <c r="M478" s="50">
        <v>5.45</v>
      </c>
      <c r="N478" s="50">
        <v>38</v>
      </c>
      <c r="O478" s="50">
        <v>8.8000000000000007</v>
      </c>
      <c r="P478" s="50">
        <v>12.3</v>
      </c>
      <c r="Q478" s="50">
        <v>49.4</v>
      </c>
      <c r="R478" s="50">
        <v>31</v>
      </c>
      <c r="S478" s="50">
        <v>24.3</v>
      </c>
      <c r="T478" s="50">
        <v>36</v>
      </c>
      <c r="U478" s="50">
        <v>7.32</v>
      </c>
      <c r="V478" s="50">
        <v>64.3</v>
      </c>
      <c r="W478" s="50">
        <v>51</v>
      </c>
      <c r="X478" s="50">
        <v>396</v>
      </c>
      <c r="Y478" s="50">
        <v>15.21</v>
      </c>
      <c r="Z478" s="50">
        <v>29.9</v>
      </c>
      <c r="AA478" s="50">
        <v>4.3600000000000003</v>
      </c>
      <c r="AB478" s="50"/>
      <c r="AC478" s="50"/>
      <c r="AD478" s="50"/>
      <c r="AE478" s="50"/>
      <c r="AF478" s="50"/>
      <c r="AG478" s="50"/>
      <c r="AH478" s="50"/>
      <c r="AI478" s="50"/>
      <c r="AJ478" s="50"/>
    </row>
    <row r="479" spans="1:36" ht="15" customHeight="1" x14ac:dyDescent="0.25">
      <c r="A479" s="50">
        <v>96</v>
      </c>
      <c r="B479" s="50" t="s">
        <v>925</v>
      </c>
      <c r="C479" s="50" t="s">
        <v>1357</v>
      </c>
      <c r="D479" s="50">
        <v>47</v>
      </c>
      <c r="E479" s="50" t="s">
        <v>1353</v>
      </c>
      <c r="F479" s="50">
        <v>8</v>
      </c>
      <c r="G479" s="50">
        <v>5.2</v>
      </c>
      <c r="H479" s="50">
        <v>34</v>
      </c>
      <c r="I479" s="50">
        <v>2.41</v>
      </c>
      <c r="J479" s="50">
        <v>93</v>
      </c>
      <c r="K479" s="50">
        <v>83</v>
      </c>
      <c r="L479" s="50">
        <v>6.26</v>
      </c>
      <c r="M479" s="50">
        <v>4.97</v>
      </c>
      <c r="N479" s="50">
        <v>36</v>
      </c>
      <c r="O479" s="50">
        <v>9.6999999999999993</v>
      </c>
      <c r="P479" s="50">
        <v>11.7</v>
      </c>
      <c r="Q479" s="50">
        <v>45.7</v>
      </c>
      <c r="R479" s="50">
        <v>39.200000000000003</v>
      </c>
      <c r="S479" s="50">
        <v>27.5</v>
      </c>
      <c r="T479" s="50">
        <v>44</v>
      </c>
      <c r="U479" s="50">
        <v>6.93</v>
      </c>
      <c r="V479" s="50">
        <v>64.900000000000006</v>
      </c>
      <c r="W479" s="50">
        <v>55</v>
      </c>
      <c r="X479" s="50">
        <v>417</v>
      </c>
      <c r="Y479" s="50">
        <v>13.29</v>
      </c>
      <c r="Z479" s="50">
        <v>31.7</v>
      </c>
      <c r="AA479" s="50">
        <v>4.8600000000000003</v>
      </c>
      <c r="AB479" s="50"/>
      <c r="AC479" s="50"/>
      <c r="AD479" s="50"/>
      <c r="AE479" s="50"/>
      <c r="AF479" s="50"/>
      <c r="AG479" s="50"/>
      <c r="AH479" s="50"/>
      <c r="AI479" s="50"/>
      <c r="AJ479" s="50"/>
    </row>
    <row r="480" spans="1:36" ht="15" customHeight="1" x14ac:dyDescent="0.25">
      <c r="A480" s="50">
        <v>96</v>
      </c>
      <c r="B480" s="50" t="s">
        <v>925</v>
      </c>
      <c r="C480" s="50" t="s">
        <v>1357</v>
      </c>
      <c r="D480" s="50">
        <v>47</v>
      </c>
      <c r="E480" s="50" t="s">
        <v>1353</v>
      </c>
      <c r="F480" s="50">
        <v>12</v>
      </c>
      <c r="G480" s="50">
        <v>4.4000000000000004</v>
      </c>
      <c r="H480" s="50">
        <v>30</v>
      </c>
      <c r="I480" s="50">
        <v>2.14</v>
      </c>
      <c r="J480" s="50">
        <v>108</v>
      </c>
      <c r="K480" s="50">
        <v>74</v>
      </c>
      <c r="L480" s="50">
        <v>5.04</v>
      </c>
      <c r="M480" s="50">
        <v>4.46</v>
      </c>
      <c r="N480" s="50">
        <v>34</v>
      </c>
      <c r="O480" s="50">
        <v>8.6999999999999993</v>
      </c>
      <c r="P480" s="50">
        <v>11.3</v>
      </c>
      <c r="Q480" s="50">
        <v>42.2</v>
      </c>
      <c r="R480" s="50">
        <v>44.6</v>
      </c>
      <c r="S480" s="50">
        <v>25.8</v>
      </c>
      <c r="T480" s="50">
        <v>50</v>
      </c>
      <c r="U480" s="50">
        <v>5.95</v>
      </c>
      <c r="V480" s="50">
        <v>67.8</v>
      </c>
      <c r="W480" s="50">
        <v>59</v>
      </c>
      <c r="X480" s="50">
        <v>449</v>
      </c>
      <c r="Y480" s="50">
        <v>12.85</v>
      </c>
      <c r="Z480" s="50">
        <v>33.1</v>
      </c>
      <c r="AA480" s="50">
        <v>5.14</v>
      </c>
      <c r="AB480" s="50"/>
      <c r="AC480" s="50"/>
      <c r="AD480" s="50"/>
      <c r="AE480" s="50"/>
      <c r="AF480" s="50"/>
      <c r="AG480" s="50"/>
      <c r="AH480" s="50"/>
      <c r="AI480" s="50"/>
      <c r="AJ480" s="50"/>
    </row>
    <row r="481" spans="1:36" ht="15" customHeight="1" x14ac:dyDescent="0.25">
      <c r="A481" s="50">
        <v>96</v>
      </c>
      <c r="B481" s="50" t="s">
        <v>925</v>
      </c>
      <c r="C481" s="50" t="s">
        <v>1357</v>
      </c>
      <c r="D481" s="50">
        <v>47</v>
      </c>
      <c r="E481" s="50" t="s">
        <v>1353</v>
      </c>
      <c r="F481" s="50">
        <v>21</v>
      </c>
      <c r="G481" s="50">
        <v>2.9</v>
      </c>
      <c r="H481" s="50">
        <v>23</v>
      </c>
      <c r="I481" s="50">
        <v>1.56</v>
      </c>
      <c r="J481" s="50">
        <v>114</v>
      </c>
      <c r="K481" s="50">
        <v>55</v>
      </c>
      <c r="L481" s="50">
        <v>3.62</v>
      </c>
      <c r="M481" s="50">
        <v>3.03</v>
      </c>
      <c r="N481" s="50">
        <v>31</v>
      </c>
      <c r="O481" s="50">
        <v>8.3000000000000007</v>
      </c>
      <c r="P481" s="50">
        <v>9.9</v>
      </c>
      <c r="Q481" s="50">
        <v>30.9</v>
      </c>
      <c r="R481" s="50">
        <v>58.1</v>
      </c>
      <c r="S481" s="50">
        <v>29.7</v>
      </c>
      <c r="T481" s="50">
        <v>60</v>
      </c>
      <c r="U481" s="50">
        <v>5.77</v>
      </c>
      <c r="V481" s="50">
        <v>68.2</v>
      </c>
      <c r="W481" s="50">
        <v>64</v>
      </c>
      <c r="X481" s="50">
        <v>474</v>
      </c>
      <c r="Y481" s="50">
        <v>10.46</v>
      </c>
      <c r="Z481" s="50">
        <v>39.1</v>
      </c>
      <c r="AA481" s="50">
        <v>5.69</v>
      </c>
      <c r="AB481" s="50"/>
      <c r="AC481" s="50"/>
      <c r="AD481" s="50"/>
      <c r="AE481" s="50"/>
      <c r="AF481" s="50"/>
      <c r="AG481" s="50"/>
      <c r="AH481" s="50"/>
      <c r="AI481" s="50"/>
      <c r="AJ481" s="50"/>
    </row>
    <row r="482" spans="1:36" ht="15" customHeight="1" x14ac:dyDescent="0.25">
      <c r="A482" s="50">
        <v>97</v>
      </c>
      <c r="B482" s="50" t="s">
        <v>925</v>
      </c>
      <c r="C482" s="50" t="s">
        <v>1357</v>
      </c>
      <c r="D482" s="50">
        <v>35</v>
      </c>
      <c r="E482" s="50" t="s">
        <v>1355</v>
      </c>
      <c r="F482" s="50">
        <v>0</v>
      </c>
      <c r="G482" s="50">
        <v>7.6</v>
      </c>
      <c r="H482" s="50">
        <v>43</v>
      </c>
      <c r="I482" s="50">
        <v>2.46</v>
      </c>
      <c r="J482" s="50">
        <v>120</v>
      </c>
      <c r="K482" s="50">
        <v>100</v>
      </c>
      <c r="L482" s="50">
        <v>7.35</v>
      </c>
      <c r="M482" s="50">
        <v>6.19</v>
      </c>
      <c r="N482" s="50">
        <v>41</v>
      </c>
      <c r="O482" s="50">
        <v>14.3</v>
      </c>
      <c r="P482" s="50">
        <v>13.9</v>
      </c>
      <c r="Q482" s="50">
        <v>40.1</v>
      </c>
      <c r="R482" s="50">
        <v>30.4</v>
      </c>
      <c r="S482" s="50">
        <v>22.2</v>
      </c>
      <c r="T482" s="50">
        <v>38</v>
      </c>
      <c r="U482" s="50">
        <v>9.56</v>
      </c>
      <c r="V482" s="50">
        <v>67.7</v>
      </c>
      <c r="W482" s="50">
        <v>38</v>
      </c>
      <c r="X482" s="50">
        <v>434</v>
      </c>
      <c r="Y482" s="50">
        <v>14.74</v>
      </c>
      <c r="Z482" s="50">
        <v>26.5</v>
      </c>
      <c r="AA482" s="50">
        <v>4.2699999999999996</v>
      </c>
      <c r="AB482" s="50"/>
      <c r="AC482" s="50"/>
      <c r="AD482" s="50"/>
      <c r="AE482" s="50"/>
      <c r="AF482" s="50"/>
      <c r="AG482" s="50"/>
      <c r="AH482" s="50"/>
      <c r="AI482" s="50"/>
      <c r="AJ482" s="50"/>
    </row>
    <row r="483" spans="1:36" ht="15" customHeight="1" x14ac:dyDescent="0.25">
      <c r="A483" s="50">
        <v>97</v>
      </c>
      <c r="B483" s="50" t="s">
        <v>925</v>
      </c>
      <c r="C483" s="50" t="s">
        <v>1357</v>
      </c>
      <c r="D483" s="50">
        <v>35</v>
      </c>
      <c r="E483" s="50" t="s">
        <v>1355</v>
      </c>
      <c r="F483" s="50">
        <v>4</v>
      </c>
      <c r="G483" s="50">
        <v>6.8</v>
      </c>
      <c r="H483" s="50">
        <v>40</v>
      </c>
      <c r="I483" s="50">
        <v>2.4</v>
      </c>
      <c r="J483" s="50">
        <v>120</v>
      </c>
      <c r="K483" s="50">
        <v>91</v>
      </c>
      <c r="L483" s="50">
        <v>6.73</v>
      </c>
      <c r="M483" s="50">
        <v>5.66</v>
      </c>
      <c r="N483" s="50">
        <v>39</v>
      </c>
      <c r="O483" s="50">
        <v>13.2</v>
      </c>
      <c r="P483" s="50">
        <v>14.1</v>
      </c>
      <c r="Q483" s="50">
        <v>37.799999999999997</v>
      </c>
      <c r="R483" s="50">
        <v>36.200000000000003</v>
      </c>
      <c r="S483" s="50">
        <v>24.8</v>
      </c>
      <c r="T483" s="50">
        <v>45</v>
      </c>
      <c r="U483" s="50">
        <v>9.0500000000000007</v>
      </c>
      <c r="V483" s="50">
        <v>68.900000000000006</v>
      </c>
      <c r="W483" s="50">
        <v>41</v>
      </c>
      <c r="X483" s="50">
        <v>443</v>
      </c>
      <c r="Y483" s="50">
        <v>13.96</v>
      </c>
      <c r="Z483" s="50">
        <v>25.8</v>
      </c>
      <c r="AA483" s="50">
        <v>4.3499999999999996</v>
      </c>
      <c r="AB483" s="50"/>
      <c r="AC483" s="50"/>
      <c r="AD483" s="50"/>
      <c r="AE483" s="50"/>
      <c r="AF483" s="50"/>
      <c r="AG483" s="50"/>
      <c r="AH483" s="50"/>
      <c r="AI483" s="50"/>
      <c r="AJ483" s="50"/>
    </row>
    <row r="484" spans="1:36" ht="15" customHeight="1" x14ac:dyDescent="0.25">
      <c r="A484" s="50">
        <v>97</v>
      </c>
      <c r="B484" s="50" t="s">
        <v>925</v>
      </c>
      <c r="C484" s="50" t="s">
        <v>1357</v>
      </c>
      <c r="D484" s="50">
        <v>35</v>
      </c>
      <c r="E484" s="50" t="s">
        <v>1355</v>
      </c>
      <c r="F484" s="50">
        <v>8</v>
      </c>
      <c r="G484" s="50">
        <v>6.1</v>
      </c>
      <c r="H484" s="50">
        <v>34</v>
      </c>
      <c r="I484" s="50">
        <v>2.13</v>
      </c>
      <c r="J484" s="50">
        <v>130</v>
      </c>
      <c r="K484" s="50">
        <v>83</v>
      </c>
      <c r="L484" s="50">
        <v>6.03</v>
      </c>
      <c r="M484" s="50">
        <v>5.01</v>
      </c>
      <c r="N484" s="50">
        <v>36</v>
      </c>
      <c r="O484" s="50">
        <v>12.9</v>
      </c>
      <c r="P484" s="50">
        <v>12.7</v>
      </c>
      <c r="Q484" s="50">
        <v>33.299999999999997</v>
      </c>
      <c r="R484" s="50">
        <v>39</v>
      </c>
      <c r="S484" s="50">
        <v>27.7</v>
      </c>
      <c r="T484" s="50">
        <v>46</v>
      </c>
      <c r="U484" s="50">
        <v>9.26</v>
      </c>
      <c r="V484" s="50">
        <v>70.900000000000006</v>
      </c>
      <c r="W484" s="50">
        <v>48</v>
      </c>
      <c r="X484" s="50">
        <v>457</v>
      </c>
      <c r="Y484" s="50">
        <v>12.82</v>
      </c>
      <c r="Z484" s="50">
        <v>29</v>
      </c>
      <c r="AA484" s="50">
        <v>4.1900000000000004</v>
      </c>
      <c r="AB484" s="50"/>
      <c r="AC484" s="50"/>
      <c r="AD484" s="50"/>
      <c r="AE484" s="50"/>
      <c r="AF484" s="50"/>
      <c r="AG484" s="50"/>
      <c r="AH484" s="50"/>
      <c r="AI484" s="50"/>
      <c r="AJ484" s="50"/>
    </row>
    <row r="485" spans="1:36" ht="15" customHeight="1" x14ac:dyDescent="0.25">
      <c r="A485" s="50">
        <v>97</v>
      </c>
      <c r="B485" s="50" t="s">
        <v>925</v>
      </c>
      <c r="C485" s="50" t="s">
        <v>1357</v>
      </c>
      <c r="D485" s="50">
        <v>35</v>
      </c>
      <c r="E485" s="50" t="s">
        <v>1355</v>
      </c>
      <c r="F485" s="50">
        <v>12</v>
      </c>
      <c r="G485" s="50">
        <v>5.0999999999999996</v>
      </c>
      <c r="H485" s="50">
        <v>34</v>
      </c>
      <c r="I485" s="50">
        <v>1.95</v>
      </c>
      <c r="J485" s="50">
        <v>131</v>
      </c>
      <c r="K485" s="50">
        <v>74</v>
      </c>
      <c r="L485" s="50">
        <v>5.18</v>
      </c>
      <c r="M485" s="50">
        <v>4.3499999999999996</v>
      </c>
      <c r="N485" s="50">
        <v>30</v>
      </c>
      <c r="O485" s="50">
        <v>10.7</v>
      </c>
      <c r="P485" s="50">
        <v>13</v>
      </c>
      <c r="Q485" s="50">
        <v>29.8</v>
      </c>
      <c r="R485" s="50">
        <v>44.4</v>
      </c>
      <c r="S485" s="50">
        <v>31.2</v>
      </c>
      <c r="T485" s="50">
        <v>55</v>
      </c>
      <c r="U485" s="50">
        <v>6.55</v>
      </c>
      <c r="V485" s="50">
        <v>70.900000000000006</v>
      </c>
      <c r="W485" s="50">
        <v>51</v>
      </c>
      <c r="X485" s="50">
        <v>475</v>
      </c>
      <c r="Y485" s="50">
        <v>11.4</v>
      </c>
      <c r="Z485" s="50">
        <v>31</v>
      </c>
      <c r="AA485" s="50">
        <v>4.45</v>
      </c>
      <c r="AB485" s="50"/>
      <c r="AC485" s="50"/>
      <c r="AD485" s="50"/>
      <c r="AE485" s="50"/>
      <c r="AF485" s="50"/>
      <c r="AG485" s="50"/>
      <c r="AH485" s="50"/>
      <c r="AI485" s="50"/>
      <c r="AJ485" s="50"/>
    </row>
    <row r="486" spans="1:36" ht="15" customHeight="1" x14ac:dyDescent="0.25">
      <c r="A486" s="50">
        <v>97</v>
      </c>
      <c r="B486" s="50" t="s">
        <v>925</v>
      </c>
      <c r="C486" s="50" t="s">
        <v>1357</v>
      </c>
      <c r="D486" s="50">
        <v>35</v>
      </c>
      <c r="E486" s="50" t="s">
        <v>1355</v>
      </c>
      <c r="F486" s="50">
        <v>21</v>
      </c>
      <c r="G486" s="50">
        <v>3.2</v>
      </c>
      <c r="H486" s="50">
        <v>24</v>
      </c>
      <c r="I486" s="50">
        <v>1.29</v>
      </c>
      <c r="J486" s="50">
        <v>140</v>
      </c>
      <c r="K486" s="50">
        <v>55</v>
      </c>
      <c r="L486" s="50">
        <v>3.45</v>
      </c>
      <c r="M486" s="50">
        <v>2.87</v>
      </c>
      <c r="N486" s="50">
        <v>29</v>
      </c>
      <c r="O486" s="50">
        <v>9.3000000000000007</v>
      </c>
      <c r="P486" s="50">
        <v>12.2</v>
      </c>
      <c r="Q486" s="50">
        <v>26</v>
      </c>
      <c r="R486" s="50">
        <v>53.6</v>
      </c>
      <c r="S486" s="50">
        <v>38.1</v>
      </c>
      <c r="T486" s="50">
        <v>59</v>
      </c>
      <c r="U486" s="50">
        <v>5.32</v>
      </c>
      <c r="V486" s="50">
        <v>71.900000000000006</v>
      </c>
      <c r="W486" s="50">
        <v>61</v>
      </c>
      <c r="X486" s="50">
        <v>504</v>
      </c>
      <c r="Y486" s="50">
        <v>9.2200000000000006</v>
      </c>
      <c r="Z486" s="50">
        <v>34.5</v>
      </c>
      <c r="AA486" s="50">
        <v>5.24</v>
      </c>
      <c r="AB486" s="50"/>
      <c r="AC486" s="50"/>
      <c r="AD486" s="50"/>
      <c r="AE486" s="50"/>
      <c r="AF486" s="50"/>
      <c r="AG486" s="50"/>
      <c r="AH486" s="50"/>
      <c r="AI486" s="50"/>
      <c r="AJ486" s="50"/>
    </row>
    <row r="487" spans="1:36" ht="15" customHeight="1" x14ac:dyDescent="0.25">
      <c r="A487" s="50">
        <v>98</v>
      </c>
      <c r="B487" s="50" t="s">
        <v>925</v>
      </c>
      <c r="C487" s="50" t="s">
        <v>1352</v>
      </c>
      <c r="D487" s="50">
        <v>30</v>
      </c>
      <c r="E487" s="50" t="s">
        <v>1355</v>
      </c>
      <c r="F487" s="50">
        <v>0</v>
      </c>
      <c r="G487" s="50">
        <v>7.2</v>
      </c>
      <c r="H487" s="50">
        <v>48</v>
      </c>
      <c r="I487" s="50">
        <v>2.5</v>
      </c>
      <c r="J487" s="50">
        <v>117</v>
      </c>
      <c r="K487" s="50">
        <v>100</v>
      </c>
      <c r="L487" s="50">
        <v>6.73</v>
      </c>
      <c r="M487" s="50">
        <v>5.89</v>
      </c>
      <c r="N487" s="50">
        <v>47</v>
      </c>
      <c r="O487" s="50">
        <v>11.3</v>
      </c>
      <c r="P487" s="50">
        <v>13.7</v>
      </c>
      <c r="Q487" s="50">
        <v>44.6</v>
      </c>
      <c r="R487" s="50">
        <v>34.799999999999997</v>
      </c>
      <c r="S487" s="50">
        <v>20.8</v>
      </c>
      <c r="T487" s="50">
        <v>36</v>
      </c>
      <c r="U487" s="50">
        <v>18.59</v>
      </c>
      <c r="V487" s="50">
        <v>54.8</v>
      </c>
      <c r="W487" s="50">
        <v>40</v>
      </c>
      <c r="X487" s="50">
        <v>376</v>
      </c>
      <c r="Y487" s="50">
        <v>17.2</v>
      </c>
      <c r="Z487" s="50">
        <v>22.9</v>
      </c>
      <c r="AA487" s="50">
        <v>4.46</v>
      </c>
      <c r="AB487" s="50"/>
      <c r="AC487" s="50"/>
      <c r="AD487" s="50"/>
      <c r="AE487" s="50"/>
      <c r="AF487" s="50"/>
      <c r="AG487" s="50"/>
      <c r="AH487" s="50"/>
      <c r="AI487" s="50"/>
      <c r="AJ487" s="50"/>
    </row>
    <row r="488" spans="1:36" ht="15" customHeight="1" x14ac:dyDescent="0.25">
      <c r="A488" s="50">
        <v>98</v>
      </c>
      <c r="B488" s="50" t="s">
        <v>925</v>
      </c>
      <c r="C488" s="50" t="s">
        <v>1352</v>
      </c>
      <c r="D488" s="50">
        <v>30</v>
      </c>
      <c r="E488" s="50" t="s">
        <v>1355</v>
      </c>
      <c r="F488" s="50">
        <v>4</v>
      </c>
      <c r="G488" s="50">
        <v>6.2</v>
      </c>
      <c r="H488" s="50">
        <v>45</v>
      </c>
      <c r="I488" s="50">
        <v>2.27</v>
      </c>
      <c r="J488" s="50">
        <v>119</v>
      </c>
      <c r="K488" s="50">
        <v>91</v>
      </c>
      <c r="L488" s="50">
        <v>6.11</v>
      </c>
      <c r="M488" s="50">
        <v>5.34</v>
      </c>
      <c r="N488" s="50">
        <v>46</v>
      </c>
      <c r="O488" s="50">
        <v>10.6</v>
      </c>
      <c r="P488" s="50">
        <v>13.8</v>
      </c>
      <c r="Q488" s="50">
        <v>40.4</v>
      </c>
      <c r="R488" s="50">
        <v>41.4</v>
      </c>
      <c r="S488" s="50">
        <v>27.2</v>
      </c>
      <c r="T488" s="50">
        <v>43</v>
      </c>
      <c r="U488" s="50">
        <v>16.809999999999999</v>
      </c>
      <c r="V488" s="50">
        <v>58.1</v>
      </c>
      <c r="W488" s="50">
        <v>42</v>
      </c>
      <c r="X488" s="50">
        <v>403</v>
      </c>
      <c r="Y488" s="50">
        <v>16.29</v>
      </c>
      <c r="Z488" s="50">
        <v>25.1</v>
      </c>
      <c r="AA488" s="50">
        <v>4.6100000000000003</v>
      </c>
      <c r="AB488" s="50"/>
      <c r="AC488" s="50"/>
      <c r="AD488" s="50"/>
      <c r="AE488" s="50"/>
      <c r="AF488" s="50"/>
      <c r="AG488" s="50"/>
      <c r="AH488" s="50"/>
      <c r="AI488" s="50"/>
      <c r="AJ488" s="50"/>
    </row>
    <row r="489" spans="1:36" ht="15" customHeight="1" x14ac:dyDescent="0.25">
      <c r="A489" s="50">
        <v>98</v>
      </c>
      <c r="B489" s="50" t="s">
        <v>925</v>
      </c>
      <c r="C489" s="50" t="s">
        <v>1352</v>
      </c>
      <c r="D489" s="50">
        <v>30</v>
      </c>
      <c r="E489" s="50" t="s">
        <v>1355</v>
      </c>
      <c r="F489" s="50">
        <v>8</v>
      </c>
      <c r="G489" s="50">
        <v>5.5</v>
      </c>
      <c r="H489" s="50">
        <v>45</v>
      </c>
      <c r="I489" s="50">
        <v>2.0099999999999998</v>
      </c>
      <c r="J489" s="50">
        <v>123</v>
      </c>
      <c r="K489" s="50">
        <v>83</v>
      </c>
      <c r="L489" s="50">
        <v>5.51</v>
      </c>
      <c r="M489" s="50">
        <v>4.41</v>
      </c>
      <c r="N489" s="50">
        <v>40</v>
      </c>
      <c r="O489" s="50">
        <v>10.3</v>
      </c>
      <c r="P489" s="50">
        <v>11.5</v>
      </c>
      <c r="Q489" s="50">
        <v>39</v>
      </c>
      <c r="R489" s="50">
        <v>46.9</v>
      </c>
      <c r="S489" s="50">
        <v>29.2</v>
      </c>
      <c r="T489" s="50">
        <v>47</v>
      </c>
      <c r="U489" s="50">
        <v>16.510000000000002</v>
      </c>
      <c r="V489" s="50">
        <v>60.2</v>
      </c>
      <c r="W489" s="50">
        <v>47</v>
      </c>
      <c r="X489" s="50">
        <v>433</v>
      </c>
      <c r="Y489" s="50">
        <v>15.46</v>
      </c>
      <c r="Z489" s="50">
        <v>27.8</v>
      </c>
      <c r="AA489" s="50">
        <v>5.03</v>
      </c>
      <c r="AB489" s="50"/>
      <c r="AC489" s="50"/>
      <c r="AD489" s="50"/>
      <c r="AE489" s="50"/>
      <c r="AF489" s="50"/>
      <c r="AG489" s="50"/>
      <c r="AH489" s="50"/>
      <c r="AI489" s="50"/>
      <c r="AJ489" s="50"/>
    </row>
    <row r="490" spans="1:36" ht="15" customHeight="1" x14ac:dyDescent="0.25">
      <c r="A490" s="50">
        <v>98</v>
      </c>
      <c r="B490" s="50" t="s">
        <v>925</v>
      </c>
      <c r="C490" s="50" t="s">
        <v>1352</v>
      </c>
      <c r="D490" s="50">
        <v>30</v>
      </c>
      <c r="E490" s="50" t="s">
        <v>1355</v>
      </c>
      <c r="F490" s="50">
        <v>12</v>
      </c>
      <c r="G490" s="50">
        <v>4.5999999999999996</v>
      </c>
      <c r="H490" s="50">
        <v>39</v>
      </c>
      <c r="I490" s="50">
        <v>1.79</v>
      </c>
      <c r="J490" s="50">
        <v>128</v>
      </c>
      <c r="K490" s="50">
        <v>74</v>
      </c>
      <c r="L490" s="50">
        <v>4.33</v>
      </c>
      <c r="M490" s="50">
        <v>3.81</v>
      </c>
      <c r="N490" s="50">
        <v>38</v>
      </c>
      <c r="O490" s="50">
        <v>10</v>
      </c>
      <c r="P490" s="50">
        <v>11.8</v>
      </c>
      <c r="Q490" s="50">
        <v>33.200000000000003</v>
      </c>
      <c r="R490" s="50">
        <v>54</v>
      </c>
      <c r="S490" s="50">
        <v>29.4</v>
      </c>
      <c r="T490" s="50">
        <v>53</v>
      </c>
      <c r="U490" s="50">
        <v>14.03</v>
      </c>
      <c r="V490" s="50">
        <v>61.5</v>
      </c>
      <c r="W490" s="50">
        <v>53</v>
      </c>
      <c r="X490" s="50">
        <v>442</v>
      </c>
      <c r="Y490" s="50">
        <v>13.69</v>
      </c>
      <c r="Z490" s="50">
        <v>32.700000000000003</v>
      </c>
      <c r="AA490" s="50">
        <v>5.37</v>
      </c>
      <c r="AB490" s="50"/>
      <c r="AC490" s="50"/>
      <c r="AD490" s="50"/>
      <c r="AE490" s="50"/>
      <c r="AF490" s="50"/>
      <c r="AG490" s="50"/>
      <c r="AH490" s="50"/>
      <c r="AI490" s="50"/>
      <c r="AJ490" s="50"/>
    </row>
    <row r="491" spans="1:36" ht="15" customHeight="1" x14ac:dyDescent="0.25">
      <c r="A491" s="50">
        <v>98</v>
      </c>
      <c r="B491" s="50" t="s">
        <v>925</v>
      </c>
      <c r="C491" s="50" t="s">
        <v>1352</v>
      </c>
      <c r="D491" s="50">
        <v>30</v>
      </c>
      <c r="E491" s="50" t="s">
        <v>1355</v>
      </c>
      <c r="F491" s="50">
        <v>21</v>
      </c>
      <c r="G491" s="50">
        <v>2.9</v>
      </c>
      <c r="H491" s="50">
        <v>31</v>
      </c>
      <c r="I491" s="50">
        <v>1.24</v>
      </c>
      <c r="J491" s="50">
        <v>140</v>
      </c>
      <c r="K491" s="50">
        <v>55</v>
      </c>
      <c r="L491" s="50">
        <v>2.8</v>
      </c>
      <c r="M491" s="50">
        <v>2.86</v>
      </c>
      <c r="N491" s="50">
        <v>35</v>
      </c>
      <c r="O491" s="50">
        <v>10.3</v>
      </c>
      <c r="P491" s="50">
        <v>9.5</v>
      </c>
      <c r="Q491" s="50">
        <v>24.1</v>
      </c>
      <c r="R491" s="50">
        <v>62.6</v>
      </c>
      <c r="S491" s="50">
        <v>39.200000000000003</v>
      </c>
      <c r="T491" s="50">
        <v>63</v>
      </c>
      <c r="U491" s="50">
        <v>12.42</v>
      </c>
      <c r="V491" s="50">
        <v>67</v>
      </c>
      <c r="W491" s="50">
        <v>60</v>
      </c>
      <c r="X491" s="50">
        <v>496</v>
      </c>
      <c r="Y491" s="50">
        <v>11.13</v>
      </c>
      <c r="Z491" s="50">
        <v>37.5</v>
      </c>
      <c r="AA491" s="50">
        <v>5.74</v>
      </c>
      <c r="AB491" s="50"/>
      <c r="AC491" s="50"/>
      <c r="AD491" s="50"/>
      <c r="AE491" s="50"/>
      <c r="AF491" s="50"/>
      <c r="AG491" s="50"/>
      <c r="AH491" s="50"/>
      <c r="AI491" s="50"/>
      <c r="AJ491" s="50"/>
    </row>
    <row r="492" spans="1:36" ht="15" customHeight="1" x14ac:dyDescent="0.25">
      <c r="A492" s="50">
        <v>99</v>
      </c>
      <c r="B492" s="50" t="s">
        <v>925</v>
      </c>
      <c r="C492" s="50" t="s">
        <v>1352</v>
      </c>
      <c r="D492" s="50">
        <v>36</v>
      </c>
      <c r="E492" s="50" t="s">
        <v>1359</v>
      </c>
      <c r="F492" s="50">
        <v>0</v>
      </c>
      <c r="G492" s="50">
        <v>6.9</v>
      </c>
      <c r="H492" s="50">
        <v>50</v>
      </c>
      <c r="I492" s="50">
        <v>3.88</v>
      </c>
      <c r="J492" s="50">
        <v>110</v>
      </c>
      <c r="K492" s="50">
        <v>100</v>
      </c>
      <c r="L492" s="50">
        <v>5.86</v>
      </c>
      <c r="M492" s="50">
        <v>6.27</v>
      </c>
      <c r="N492" s="50">
        <v>45</v>
      </c>
      <c r="O492" s="50">
        <v>7.7</v>
      </c>
      <c r="P492" s="50">
        <v>11.6</v>
      </c>
      <c r="Q492" s="50">
        <v>50.4</v>
      </c>
      <c r="R492" s="50">
        <v>43.8</v>
      </c>
      <c r="S492" s="50">
        <v>16.600000000000001</v>
      </c>
      <c r="T492" s="50">
        <v>38</v>
      </c>
      <c r="U492" s="50">
        <v>11.1</v>
      </c>
      <c r="V492" s="50">
        <v>47.7</v>
      </c>
      <c r="W492" s="50">
        <v>51</v>
      </c>
      <c r="X492" s="50">
        <v>483</v>
      </c>
      <c r="Y492" s="50">
        <v>15.29</v>
      </c>
      <c r="Z492" s="50">
        <v>21.7</v>
      </c>
      <c r="AA492" s="50">
        <v>5.7</v>
      </c>
      <c r="AB492" s="50"/>
      <c r="AC492" s="50"/>
      <c r="AD492" s="50"/>
      <c r="AE492" s="50"/>
      <c r="AF492" s="50"/>
      <c r="AG492" s="50"/>
      <c r="AH492" s="50"/>
      <c r="AI492" s="50"/>
      <c r="AJ492" s="50"/>
    </row>
    <row r="493" spans="1:36" ht="15" customHeight="1" x14ac:dyDescent="0.25">
      <c r="A493" s="50">
        <v>99</v>
      </c>
      <c r="B493" s="50" t="s">
        <v>925</v>
      </c>
      <c r="C493" s="50" t="s">
        <v>1352</v>
      </c>
      <c r="D493" s="50">
        <v>36</v>
      </c>
      <c r="E493" s="50" t="s">
        <v>1359</v>
      </c>
      <c r="F493" s="50">
        <v>4</v>
      </c>
      <c r="G493" s="50">
        <v>6.2</v>
      </c>
      <c r="H493" s="50">
        <v>47</v>
      </c>
      <c r="I493" s="50">
        <v>3.6</v>
      </c>
      <c r="J493" s="50">
        <v>116</v>
      </c>
      <c r="K493" s="50">
        <v>91</v>
      </c>
      <c r="L493" s="50">
        <v>5.15</v>
      </c>
      <c r="M493" s="50">
        <v>5.76</v>
      </c>
      <c r="N493" s="50">
        <v>41</v>
      </c>
      <c r="O493" s="50">
        <v>8.6</v>
      </c>
      <c r="P493" s="50">
        <v>10.4</v>
      </c>
      <c r="Q493" s="50">
        <v>46.8</v>
      </c>
      <c r="R493" s="50">
        <v>44.9</v>
      </c>
      <c r="S493" s="50">
        <v>20.7</v>
      </c>
      <c r="T493" s="50">
        <v>45</v>
      </c>
      <c r="U493" s="50">
        <v>10.37</v>
      </c>
      <c r="V493" s="50">
        <v>53.1</v>
      </c>
      <c r="W493" s="50">
        <v>53</v>
      </c>
      <c r="X493" s="50">
        <v>488</v>
      </c>
      <c r="Y493" s="50">
        <v>13.96</v>
      </c>
      <c r="Z493" s="50">
        <v>25.9</v>
      </c>
      <c r="AA493" s="50">
        <v>5.73</v>
      </c>
      <c r="AB493" s="50"/>
      <c r="AC493" s="50"/>
      <c r="AD493" s="50"/>
      <c r="AE493" s="50"/>
      <c r="AF493" s="50"/>
      <c r="AG493" s="50"/>
      <c r="AH493" s="50"/>
      <c r="AI493" s="50"/>
      <c r="AJ493" s="50"/>
    </row>
    <row r="494" spans="1:36" ht="15" customHeight="1" x14ac:dyDescent="0.25">
      <c r="A494" s="50">
        <v>99</v>
      </c>
      <c r="B494" s="50" t="s">
        <v>925</v>
      </c>
      <c r="C494" s="50" t="s">
        <v>1352</v>
      </c>
      <c r="D494" s="50">
        <v>36</v>
      </c>
      <c r="E494" s="50" t="s">
        <v>1359</v>
      </c>
      <c r="F494" s="50">
        <v>8</v>
      </c>
      <c r="G494" s="50">
        <v>5.4</v>
      </c>
      <c r="H494" s="50">
        <v>42</v>
      </c>
      <c r="I494" s="50">
        <v>3.18</v>
      </c>
      <c r="J494" s="50">
        <v>119</v>
      </c>
      <c r="K494" s="50">
        <v>83</v>
      </c>
      <c r="L494" s="50">
        <v>4.7300000000000004</v>
      </c>
      <c r="M494" s="50">
        <v>5.34</v>
      </c>
      <c r="N494" s="50">
        <v>42</v>
      </c>
      <c r="O494" s="50">
        <v>7.4</v>
      </c>
      <c r="P494" s="50">
        <v>10.7</v>
      </c>
      <c r="Q494" s="50">
        <v>42.4</v>
      </c>
      <c r="R494" s="50">
        <v>50</v>
      </c>
      <c r="S494" s="50">
        <v>21.7</v>
      </c>
      <c r="T494" s="50">
        <v>44</v>
      </c>
      <c r="U494" s="50">
        <v>8.92</v>
      </c>
      <c r="V494" s="50">
        <v>57.1</v>
      </c>
      <c r="W494" s="50">
        <v>60</v>
      </c>
      <c r="X494" s="50">
        <v>501</v>
      </c>
      <c r="Y494" s="50">
        <v>13.74</v>
      </c>
      <c r="Z494" s="50">
        <v>26.8</v>
      </c>
      <c r="AA494" s="50">
        <v>5.99</v>
      </c>
      <c r="AB494" s="50"/>
      <c r="AC494" s="50"/>
      <c r="AD494" s="50"/>
      <c r="AE494" s="50"/>
      <c r="AF494" s="50"/>
      <c r="AG494" s="50"/>
      <c r="AH494" s="50"/>
      <c r="AI494" s="50"/>
      <c r="AJ494" s="50"/>
    </row>
    <row r="495" spans="1:36" ht="15" customHeight="1" x14ac:dyDescent="0.25">
      <c r="A495" s="50">
        <v>99</v>
      </c>
      <c r="B495" s="50" t="s">
        <v>925</v>
      </c>
      <c r="C495" s="50" t="s">
        <v>1352</v>
      </c>
      <c r="D495" s="50">
        <v>36</v>
      </c>
      <c r="E495" s="50" t="s">
        <v>1359</v>
      </c>
      <c r="F495" s="50">
        <v>12</v>
      </c>
      <c r="G495" s="50">
        <v>4.3</v>
      </c>
      <c r="H495" s="50">
        <v>40</v>
      </c>
      <c r="I495" s="50">
        <v>2.83</v>
      </c>
      <c r="J495" s="50">
        <v>122</v>
      </c>
      <c r="K495" s="50">
        <v>74</v>
      </c>
      <c r="L495" s="50">
        <v>4.37</v>
      </c>
      <c r="M495" s="50">
        <v>4.43</v>
      </c>
      <c r="N495" s="50">
        <v>37</v>
      </c>
      <c r="O495" s="50">
        <v>7.2</v>
      </c>
      <c r="P495" s="50">
        <v>9.6999999999999993</v>
      </c>
      <c r="Q495" s="50">
        <v>38.1</v>
      </c>
      <c r="R495" s="50">
        <v>58.1</v>
      </c>
      <c r="S495" s="50">
        <v>29.7</v>
      </c>
      <c r="T495" s="50">
        <v>51</v>
      </c>
      <c r="U495" s="50">
        <v>8.5399999999999991</v>
      </c>
      <c r="V495" s="50">
        <v>57.9</v>
      </c>
      <c r="W495" s="50">
        <v>65</v>
      </c>
      <c r="X495" s="50">
        <v>502</v>
      </c>
      <c r="Y495" s="50">
        <v>12.23</v>
      </c>
      <c r="Z495" s="50">
        <v>33.5</v>
      </c>
      <c r="AA495" s="50">
        <v>6.69</v>
      </c>
      <c r="AB495" s="50"/>
      <c r="AC495" s="50"/>
      <c r="AD495" s="50"/>
      <c r="AE495" s="50"/>
      <c r="AF495" s="50"/>
      <c r="AG495" s="50"/>
      <c r="AH495" s="50"/>
      <c r="AI495" s="50"/>
      <c r="AJ495" s="50"/>
    </row>
    <row r="496" spans="1:36" ht="15" customHeight="1" x14ac:dyDescent="0.25">
      <c r="A496" s="50">
        <v>99</v>
      </c>
      <c r="B496" s="50" t="s">
        <v>925</v>
      </c>
      <c r="C496" s="50" t="s">
        <v>1352</v>
      </c>
      <c r="D496" s="50">
        <v>36</v>
      </c>
      <c r="E496" s="50" t="s">
        <v>1359</v>
      </c>
      <c r="F496" s="50">
        <v>21</v>
      </c>
      <c r="G496" s="50">
        <v>2.5</v>
      </c>
      <c r="H496" s="50">
        <v>31</v>
      </c>
      <c r="I496" s="50">
        <v>1.99</v>
      </c>
      <c r="J496" s="50">
        <v>132</v>
      </c>
      <c r="K496" s="50">
        <v>55</v>
      </c>
      <c r="L496" s="50">
        <v>3.07</v>
      </c>
      <c r="M496" s="50">
        <v>3.76</v>
      </c>
      <c r="N496" s="50">
        <v>32</v>
      </c>
      <c r="O496" s="50">
        <v>6.2</v>
      </c>
      <c r="P496" s="50">
        <v>7.9</v>
      </c>
      <c r="Q496" s="50">
        <v>25.9</v>
      </c>
      <c r="R496" s="50">
        <v>62.4</v>
      </c>
      <c r="S496" s="50">
        <v>34.5</v>
      </c>
      <c r="T496" s="50">
        <v>54</v>
      </c>
      <c r="U496" s="50">
        <v>7.82</v>
      </c>
      <c r="V496" s="50">
        <v>64.599999999999994</v>
      </c>
      <c r="W496" s="50">
        <v>75</v>
      </c>
      <c r="X496" s="50">
        <v>535</v>
      </c>
      <c r="Y496" s="50">
        <v>10.58</v>
      </c>
      <c r="Z496" s="50">
        <v>40.799999999999997</v>
      </c>
      <c r="AA496" s="50">
        <v>7.01</v>
      </c>
      <c r="AB496" s="50"/>
      <c r="AC496" s="50"/>
      <c r="AD496" s="50"/>
      <c r="AE496" s="50"/>
      <c r="AF496" s="50"/>
      <c r="AG496" s="50"/>
      <c r="AH496" s="50"/>
      <c r="AI496" s="50"/>
      <c r="AJ496" s="50"/>
    </row>
    <row r="497" spans="1:36" ht="15" customHeight="1" x14ac:dyDescent="0.25">
      <c r="A497" s="50">
        <v>100</v>
      </c>
      <c r="B497" s="50" t="s">
        <v>925</v>
      </c>
      <c r="C497" s="50" t="s">
        <v>1352</v>
      </c>
      <c r="D497" s="50">
        <v>32</v>
      </c>
      <c r="E497" s="50" t="s">
        <v>1355</v>
      </c>
      <c r="F497" s="50">
        <v>0</v>
      </c>
      <c r="G497" s="50">
        <v>7.5</v>
      </c>
      <c r="H497" s="50">
        <v>28</v>
      </c>
      <c r="I497" s="50">
        <v>3.11</v>
      </c>
      <c r="J497" s="50">
        <v>102</v>
      </c>
      <c r="K497" s="50">
        <v>100</v>
      </c>
      <c r="L497" s="50">
        <v>6.02</v>
      </c>
      <c r="M497" s="50">
        <v>5.86</v>
      </c>
      <c r="N497" s="50">
        <v>47</v>
      </c>
      <c r="O497" s="50">
        <v>12.5</v>
      </c>
      <c r="P497" s="50">
        <v>11.5</v>
      </c>
      <c r="Q497" s="50">
        <v>47.9</v>
      </c>
      <c r="R497" s="50">
        <v>32.200000000000003</v>
      </c>
      <c r="S497" s="50">
        <v>14.3</v>
      </c>
      <c r="T497" s="50">
        <v>28</v>
      </c>
      <c r="U497" s="50">
        <v>3.67</v>
      </c>
      <c r="V497" s="50">
        <v>62.8</v>
      </c>
      <c r="W497" s="50">
        <v>37</v>
      </c>
      <c r="X497" s="50">
        <v>357</v>
      </c>
      <c r="Y497" s="50">
        <v>13.54</v>
      </c>
      <c r="Z497" s="50">
        <v>17.7</v>
      </c>
      <c r="AA497" s="50">
        <v>5.07</v>
      </c>
      <c r="AB497" s="50"/>
      <c r="AC497" s="50"/>
      <c r="AD497" s="50"/>
      <c r="AE497" s="50"/>
      <c r="AF497" s="50"/>
      <c r="AG497" s="50"/>
      <c r="AH497" s="50"/>
      <c r="AI497" s="50"/>
      <c r="AJ497" s="50"/>
    </row>
    <row r="498" spans="1:36" ht="15" customHeight="1" x14ac:dyDescent="0.25">
      <c r="A498" s="50">
        <v>100</v>
      </c>
      <c r="B498" s="50" t="s">
        <v>925</v>
      </c>
      <c r="C498" s="50" t="s">
        <v>1352</v>
      </c>
      <c r="D498" s="50">
        <v>32</v>
      </c>
      <c r="E498" s="50" t="s">
        <v>1355</v>
      </c>
      <c r="F498" s="50">
        <v>4</v>
      </c>
      <c r="G498" s="50">
        <v>6.4</v>
      </c>
      <c r="H498" s="50">
        <v>23</v>
      </c>
      <c r="I498" s="50">
        <v>2.87</v>
      </c>
      <c r="J498" s="50">
        <v>105</v>
      </c>
      <c r="K498" s="50">
        <v>91</v>
      </c>
      <c r="L498" s="50">
        <v>5.0599999999999996</v>
      </c>
      <c r="M498" s="50">
        <v>4.9800000000000004</v>
      </c>
      <c r="N498" s="50">
        <v>46</v>
      </c>
      <c r="O498" s="50">
        <v>11.3</v>
      </c>
      <c r="P498" s="50">
        <v>11.2</v>
      </c>
      <c r="Q498" s="50">
        <v>42.6</v>
      </c>
      <c r="R498" s="50">
        <v>38.6</v>
      </c>
      <c r="S498" s="50">
        <v>19.100000000000001</v>
      </c>
      <c r="T498" s="50">
        <v>40</v>
      </c>
      <c r="U498" s="50">
        <v>3.02</v>
      </c>
      <c r="V498" s="50">
        <v>63.5</v>
      </c>
      <c r="W498" s="50">
        <v>44</v>
      </c>
      <c r="X498" s="50">
        <v>372</v>
      </c>
      <c r="Y498" s="50">
        <v>12.61</v>
      </c>
      <c r="Z498" s="50">
        <v>20.6</v>
      </c>
      <c r="AA498" s="50">
        <v>4.95</v>
      </c>
      <c r="AB498" s="50"/>
      <c r="AC498" s="50"/>
      <c r="AD498" s="50"/>
      <c r="AE498" s="50"/>
      <c r="AF498" s="50"/>
      <c r="AG498" s="50"/>
      <c r="AH498" s="50"/>
      <c r="AI498" s="50"/>
      <c r="AJ498" s="50"/>
    </row>
    <row r="499" spans="1:36" ht="15" customHeight="1" x14ac:dyDescent="0.25">
      <c r="A499" s="50">
        <v>100</v>
      </c>
      <c r="B499" s="50" t="s">
        <v>925</v>
      </c>
      <c r="C499" s="50" t="s">
        <v>1352</v>
      </c>
      <c r="D499" s="50">
        <v>32</v>
      </c>
      <c r="E499" s="50" t="s">
        <v>1355</v>
      </c>
      <c r="F499" s="50">
        <v>8</v>
      </c>
      <c r="G499" s="50">
        <v>5.6</v>
      </c>
      <c r="H499" s="50">
        <v>19</v>
      </c>
      <c r="I499" s="50">
        <v>2.65</v>
      </c>
      <c r="J499" s="50">
        <v>113</v>
      </c>
      <c r="K499" s="50">
        <v>83</v>
      </c>
      <c r="L499" s="50">
        <v>4.72</v>
      </c>
      <c r="M499" s="50">
        <v>4.37</v>
      </c>
      <c r="N499" s="50">
        <v>43</v>
      </c>
      <c r="O499" s="50">
        <v>10.5</v>
      </c>
      <c r="P499" s="50">
        <v>9.9</v>
      </c>
      <c r="Q499" s="50">
        <v>39</v>
      </c>
      <c r="R499" s="50">
        <v>41.5</v>
      </c>
      <c r="S499" s="50">
        <v>19.3</v>
      </c>
      <c r="T499" s="50">
        <v>45</v>
      </c>
      <c r="U499" s="50">
        <v>3.81</v>
      </c>
      <c r="V499" s="50">
        <v>64.3</v>
      </c>
      <c r="W499" s="50">
        <v>51</v>
      </c>
      <c r="X499" s="50">
        <v>390</v>
      </c>
      <c r="Y499" s="50">
        <v>11.38</v>
      </c>
      <c r="Z499" s="50">
        <v>23.4</v>
      </c>
      <c r="AA499" s="50">
        <v>5.57</v>
      </c>
      <c r="AB499" s="50"/>
      <c r="AC499" s="50"/>
      <c r="AD499" s="50"/>
      <c r="AE499" s="50"/>
      <c r="AF499" s="50"/>
      <c r="AG499" s="50"/>
      <c r="AH499" s="50"/>
      <c r="AI499" s="50"/>
      <c r="AJ499" s="50"/>
    </row>
    <row r="500" spans="1:36" ht="15" customHeight="1" x14ac:dyDescent="0.25">
      <c r="A500" s="50">
        <v>100</v>
      </c>
      <c r="B500" s="50" t="s">
        <v>925</v>
      </c>
      <c r="C500" s="50" t="s">
        <v>1352</v>
      </c>
      <c r="D500" s="50">
        <v>32</v>
      </c>
      <c r="E500" s="50" t="s">
        <v>1355</v>
      </c>
      <c r="F500" s="50">
        <v>12</v>
      </c>
      <c r="G500" s="50">
        <v>5</v>
      </c>
      <c r="H500" s="50">
        <v>17</v>
      </c>
      <c r="I500" s="50">
        <v>2.29</v>
      </c>
      <c r="J500" s="50">
        <v>115</v>
      </c>
      <c r="K500" s="50">
        <v>74</v>
      </c>
      <c r="L500" s="50">
        <v>4.55</v>
      </c>
      <c r="M500" s="50">
        <v>4.28</v>
      </c>
      <c r="N500" s="50">
        <v>42</v>
      </c>
      <c r="O500" s="50">
        <v>9.3000000000000007</v>
      </c>
      <c r="P500" s="50">
        <v>9.1999999999999993</v>
      </c>
      <c r="Q500" s="50">
        <v>39</v>
      </c>
      <c r="R500" s="50">
        <v>44.8</v>
      </c>
      <c r="S500" s="50">
        <v>21.5</v>
      </c>
      <c r="T500" s="50">
        <v>51</v>
      </c>
      <c r="U500" s="50">
        <v>3.18</v>
      </c>
      <c r="V500" s="50">
        <v>65.8</v>
      </c>
      <c r="W500" s="50">
        <v>54</v>
      </c>
      <c r="X500" s="50">
        <v>432</v>
      </c>
      <c r="Y500" s="50">
        <v>11.53</v>
      </c>
      <c r="Z500" s="50">
        <v>25.8</v>
      </c>
      <c r="AA500" s="50">
        <v>5.61</v>
      </c>
      <c r="AB500" s="50"/>
      <c r="AC500" s="50"/>
      <c r="AD500" s="50"/>
      <c r="AE500" s="50"/>
      <c r="AF500" s="50"/>
      <c r="AG500" s="50"/>
      <c r="AH500" s="50"/>
      <c r="AI500" s="50"/>
      <c r="AJ500" s="50"/>
    </row>
    <row r="501" spans="1:36" ht="15" customHeight="1" x14ac:dyDescent="0.25">
      <c r="A501" s="50">
        <v>100</v>
      </c>
      <c r="B501" s="50" t="s">
        <v>925</v>
      </c>
      <c r="C501" s="50" t="s">
        <v>1352</v>
      </c>
      <c r="D501" s="50">
        <v>32</v>
      </c>
      <c r="E501" s="50" t="s">
        <v>1355</v>
      </c>
      <c r="F501" s="50">
        <v>21</v>
      </c>
      <c r="G501" s="50">
        <v>3.2</v>
      </c>
      <c r="H501" s="50">
        <v>11</v>
      </c>
      <c r="I501" s="50">
        <v>1.6</v>
      </c>
      <c r="J501" s="50">
        <v>126</v>
      </c>
      <c r="K501" s="50">
        <v>55</v>
      </c>
      <c r="L501" s="50">
        <v>3.15</v>
      </c>
      <c r="M501" s="50">
        <v>3.36</v>
      </c>
      <c r="N501" s="50">
        <v>36</v>
      </c>
      <c r="O501" s="50">
        <v>8.5</v>
      </c>
      <c r="P501" s="50">
        <v>9.6999999999999993</v>
      </c>
      <c r="Q501" s="50">
        <v>28.9</v>
      </c>
      <c r="R501" s="50">
        <v>53.9</v>
      </c>
      <c r="S501" s="50">
        <v>28.7</v>
      </c>
      <c r="T501" s="50">
        <v>61</v>
      </c>
      <c r="U501" s="50">
        <v>3.81</v>
      </c>
      <c r="V501" s="50">
        <v>73.8</v>
      </c>
      <c r="W501" s="50">
        <v>64</v>
      </c>
      <c r="X501" s="50">
        <v>465</v>
      </c>
      <c r="Y501" s="50">
        <v>10.3</v>
      </c>
      <c r="Z501" s="50">
        <v>27.3</v>
      </c>
      <c r="AA501" s="50">
        <v>5.65</v>
      </c>
      <c r="AB501" s="50"/>
      <c r="AC501" s="50"/>
      <c r="AD501" s="50"/>
      <c r="AE501" s="50"/>
      <c r="AF501" s="50"/>
      <c r="AG501" s="50"/>
      <c r="AH501" s="50"/>
      <c r="AI501" s="50"/>
      <c r="AJ501" s="50"/>
    </row>
    <row r="502" spans="1:36" ht="15" customHeight="1" x14ac:dyDescent="0.25">
      <c r="A502" s="50">
        <v>101</v>
      </c>
      <c r="B502" s="50" t="s">
        <v>925</v>
      </c>
      <c r="C502" s="50" t="s">
        <v>1357</v>
      </c>
      <c r="D502" s="50">
        <v>51</v>
      </c>
      <c r="E502" s="50" t="s">
        <v>1359</v>
      </c>
      <c r="F502" s="50">
        <v>0</v>
      </c>
      <c r="G502" s="50">
        <v>7</v>
      </c>
      <c r="H502" s="50">
        <v>59</v>
      </c>
      <c r="I502" s="50">
        <v>2.88</v>
      </c>
      <c r="J502" s="50">
        <v>104</v>
      </c>
      <c r="K502" s="50">
        <v>100</v>
      </c>
      <c r="L502" s="50">
        <v>7.76</v>
      </c>
      <c r="M502" s="50">
        <v>5.81</v>
      </c>
      <c r="N502" s="50">
        <v>37</v>
      </c>
      <c r="O502" s="50">
        <v>15</v>
      </c>
      <c r="P502" s="50">
        <v>13.1</v>
      </c>
      <c r="Q502" s="50">
        <v>55.2</v>
      </c>
      <c r="R502" s="50">
        <v>27.8</v>
      </c>
      <c r="S502" s="50">
        <v>15.6</v>
      </c>
      <c r="T502" s="50">
        <v>34</v>
      </c>
      <c r="U502" s="50">
        <v>10.83</v>
      </c>
      <c r="V502" s="50">
        <v>51.1</v>
      </c>
      <c r="W502" s="50">
        <v>56</v>
      </c>
      <c r="X502" s="50">
        <v>374</v>
      </c>
      <c r="Y502" s="50">
        <v>13.36</v>
      </c>
      <c r="Z502" s="50">
        <v>32.200000000000003</v>
      </c>
      <c r="AA502" s="50">
        <v>4.68</v>
      </c>
      <c r="AB502" s="50"/>
      <c r="AC502" s="50"/>
      <c r="AD502" s="50"/>
      <c r="AE502" s="50"/>
      <c r="AF502" s="50"/>
      <c r="AG502" s="50"/>
      <c r="AH502" s="50"/>
      <c r="AI502" s="50"/>
      <c r="AJ502" s="50"/>
    </row>
    <row r="503" spans="1:36" ht="15" customHeight="1" x14ac:dyDescent="0.25">
      <c r="A503" s="50">
        <v>101</v>
      </c>
      <c r="B503" s="50" t="s">
        <v>925</v>
      </c>
      <c r="C503" s="50" t="s">
        <v>1357</v>
      </c>
      <c r="D503" s="50">
        <v>51</v>
      </c>
      <c r="E503" s="50" t="s">
        <v>1359</v>
      </c>
      <c r="F503" s="50">
        <v>4</v>
      </c>
      <c r="G503" s="50">
        <v>6.1</v>
      </c>
      <c r="H503" s="50">
        <v>53</v>
      </c>
      <c r="I503" s="50">
        <v>2.63</v>
      </c>
      <c r="J503" s="50">
        <v>108</v>
      </c>
      <c r="K503" s="50">
        <v>91</v>
      </c>
      <c r="L503" s="50">
        <v>6.71</v>
      </c>
      <c r="M503" s="50">
        <v>5.34</v>
      </c>
      <c r="N503" s="50">
        <v>34</v>
      </c>
      <c r="O503" s="50">
        <v>13</v>
      </c>
      <c r="P503" s="50">
        <v>11.3</v>
      </c>
      <c r="Q503" s="50">
        <v>47.3</v>
      </c>
      <c r="R503" s="50">
        <v>31.6</v>
      </c>
      <c r="S503" s="50">
        <v>20.3</v>
      </c>
      <c r="T503" s="50">
        <v>38</v>
      </c>
      <c r="U503" s="50">
        <v>10.050000000000001</v>
      </c>
      <c r="V503" s="50">
        <v>55.5</v>
      </c>
      <c r="W503" s="50">
        <v>62</v>
      </c>
      <c r="X503" s="50">
        <v>389</v>
      </c>
      <c r="Y503" s="50">
        <v>12.29</v>
      </c>
      <c r="Z503" s="50">
        <v>32.1</v>
      </c>
      <c r="AA503" s="50">
        <v>4.84</v>
      </c>
      <c r="AB503" s="50"/>
      <c r="AC503" s="50"/>
      <c r="AD503" s="50"/>
      <c r="AE503" s="50"/>
      <c r="AF503" s="50"/>
      <c r="AG503" s="50"/>
      <c r="AH503" s="50"/>
      <c r="AI503" s="50"/>
      <c r="AJ503" s="50"/>
    </row>
    <row r="504" spans="1:36" ht="15" customHeight="1" x14ac:dyDescent="0.25">
      <c r="A504" s="50">
        <v>101</v>
      </c>
      <c r="B504" s="50" t="s">
        <v>925</v>
      </c>
      <c r="C504" s="50" t="s">
        <v>1357</v>
      </c>
      <c r="D504" s="50">
        <v>51</v>
      </c>
      <c r="E504" s="50" t="s">
        <v>1359</v>
      </c>
      <c r="F504" s="50">
        <v>8</v>
      </c>
      <c r="G504" s="50">
        <v>5.8</v>
      </c>
      <c r="H504" s="50">
        <v>51</v>
      </c>
      <c r="I504" s="50">
        <v>2.41</v>
      </c>
      <c r="J504" s="50">
        <v>119</v>
      </c>
      <c r="K504" s="50">
        <v>83</v>
      </c>
      <c r="L504" s="50">
        <v>6.43</v>
      </c>
      <c r="M504" s="50">
        <v>5.18</v>
      </c>
      <c r="N504" s="50">
        <v>34</v>
      </c>
      <c r="O504" s="50">
        <v>12.4</v>
      </c>
      <c r="P504" s="50">
        <v>11.6</v>
      </c>
      <c r="Q504" s="50">
        <v>46.1</v>
      </c>
      <c r="R504" s="50">
        <v>36.1</v>
      </c>
      <c r="S504" s="50">
        <v>21</v>
      </c>
      <c r="T504" s="50">
        <v>38</v>
      </c>
      <c r="U504" s="50">
        <v>9</v>
      </c>
      <c r="V504" s="50">
        <v>54.1</v>
      </c>
      <c r="W504" s="50">
        <v>59</v>
      </c>
      <c r="X504" s="50">
        <v>389</v>
      </c>
      <c r="Y504" s="50">
        <v>12.19</v>
      </c>
      <c r="Z504" s="50">
        <v>32.799999999999997</v>
      </c>
      <c r="AA504" s="50">
        <v>5.43</v>
      </c>
      <c r="AB504" s="50"/>
      <c r="AC504" s="50"/>
      <c r="AD504" s="50"/>
      <c r="AE504" s="50"/>
      <c r="AF504" s="50"/>
      <c r="AG504" s="50"/>
      <c r="AH504" s="50"/>
      <c r="AI504" s="50"/>
      <c r="AJ504" s="50"/>
    </row>
    <row r="505" spans="1:36" ht="15" customHeight="1" x14ac:dyDescent="0.25">
      <c r="A505" s="50">
        <v>101</v>
      </c>
      <c r="B505" s="50" t="s">
        <v>925</v>
      </c>
      <c r="C505" s="50" t="s">
        <v>1357</v>
      </c>
      <c r="D505" s="50">
        <v>51</v>
      </c>
      <c r="E505" s="50" t="s">
        <v>1359</v>
      </c>
      <c r="F505" s="50">
        <v>12</v>
      </c>
      <c r="G505" s="50">
        <v>4.8</v>
      </c>
      <c r="H505" s="50">
        <v>46</v>
      </c>
      <c r="I505" s="50">
        <v>2.0299999999999998</v>
      </c>
      <c r="J505" s="50">
        <v>119</v>
      </c>
      <c r="K505" s="50">
        <v>74</v>
      </c>
      <c r="L505" s="50">
        <v>5.31</v>
      </c>
      <c r="M505" s="50">
        <v>4.5199999999999996</v>
      </c>
      <c r="N505" s="50">
        <v>33</v>
      </c>
      <c r="O505" s="50">
        <v>11.2</v>
      </c>
      <c r="P505" s="50">
        <v>11.5</v>
      </c>
      <c r="Q505" s="50">
        <v>36</v>
      </c>
      <c r="R505" s="50">
        <v>42</v>
      </c>
      <c r="S505" s="50">
        <v>24.1</v>
      </c>
      <c r="T505" s="50">
        <v>43</v>
      </c>
      <c r="U505" s="50">
        <v>8.82</v>
      </c>
      <c r="V505" s="50">
        <v>56.1</v>
      </c>
      <c r="W505" s="50">
        <v>64</v>
      </c>
      <c r="X505" s="50">
        <v>411</v>
      </c>
      <c r="Y505" s="50">
        <v>10.71</v>
      </c>
      <c r="Z505" s="50">
        <v>35</v>
      </c>
      <c r="AA505" s="50">
        <v>5.43</v>
      </c>
      <c r="AB505" s="50"/>
      <c r="AC505" s="50"/>
      <c r="AD505" s="50"/>
      <c r="AE505" s="50"/>
      <c r="AF505" s="50"/>
      <c r="AG505" s="50"/>
      <c r="AH505" s="50"/>
      <c r="AI505" s="50"/>
      <c r="AJ505" s="50"/>
    </row>
    <row r="506" spans="1:36" ht="15" customHeight="1" x14ac:dyDescent="0.25">
      <c r="A506" s="50">
        <v>101</v>
      </c>
      <c r="B506" s="50" t="s">
        <v>925</v>
      </c>
      <c r="C506" s="50" t="s">
        <v>1357</v>
      </c>
      <c r="D506" s="50">
        <v>51</v>
      </c>
      <c r="E506" s="50" t="s">
        <v>1359</v>
      </c>
      <c r="F506" s="50">
        <v>21</v>
      </c>
      <c r="G506" s="50">
        <v>3.2</v>
      </c>
      <c r="H506" s="50">
        <v>38</v>
      </c>
      <c r="I506" s="50">
        <v>1.52</v>
      </c>
      <c r="J506" s="50">
        <v>133</v>
      </c>
      <c r="K506" s="50">
        <v>55</v>
      </c>
      <c r="L506" s="50">
        <v>3.38</v>
      </c>
      <c r="M506" s="50">
        <v>3.16</v>
      </c>
      <c r="N506" s="50">
        <v>29</v>
      </c>
      <c r="O506" s="50">
        <v>9</v>
      </c>
      <c r="P506" s="50">
        <v>9.9</v>
      </c>
      <c r="Q506" s="50">
        <v>26.9</v>
      </c>
      <c r="R506" s="50">
        <v>43.1</v>
      </c>
      <c r="S506" s="50">
        <v>32</v>
      </c>
      <c r="T506" s="50">
        <v>54</v>
      </c>
      <c r="U506" s="50">
        <v>6.92</v>
      </c>
      <c r="V506" s="50">
        <v>60.9</v>
      </c>
      <c r="W506" s="50">
        <v>69</v>
      </c>
      <c r="X506" s="50">
        <v>464</v>
      </c>
      <c r="Y506" s="50">
        <v>10.86</v>
      </c>
      <c r="Z506" s="50">
        <v>38.200000000000003</v>
      </c>
      <c r="AA506" s="50">
        <v>5.89</v>
      </c>
      <c r="AB506" s="50"/>
      <c r="AC506" s="50"/>
      <c r="AD506" s="50"/>
      <c r="AE506" s="50"/>
      <c r="AF506" s="50"/>
      <c r="AG506" s="50"/>
      <c r="AH506" s="50"/>
      <c r="AI506" s="50"/>
      <c r="AJ506" s="50"/>
    </row>
    <row r="507" spans="1:36" ht="15" customHeight="1" x14ac:dyDescent="0.25">
      <c r="A507" s="50">
        <v>102</v>
      </c>
      <c r="B507" s="50" t="s">
        <v>925</v>
      </c>
      <c r="C507" s="50" t="s">
        <v>1357</v>
      </c>
      <c r="D507" s="50">
        <v>41</v>
      </c>
      <c r="E507" s="50" t="s">
        <v>1355</v>
      </c>
      <c r="F507" s="50">
        <v>0</v>
      </c>
      <c r="G507" s="50">
        <v>6.4</v>
      </c>
      <c r="H507" s="50">
        <v>46</v>
      </c>
      <c r="I507" s="50">
        <v>3.67</v>
      </c>
      <c r="J507" s="50">
        <v>93</v>
      </c>
      <c r="K507" s="50">
        <v>100</v>
      </c>
      <c r="L507" s="50">
        <v>6.1</v>
      </c>
      <c r="M507" s="50">
        <v>6.48</v>
      </c>
      <c r="N507" s="50">
        <v>49</v>
      </c>
      <c r="O507" s="50">
        <v>13.5</v>
      </c>
      <c r="P507" s="50">
        <v>12.7</v>
      </c>
      <c r="Q507" s="50">
        <v>45.3</v>
      </c>
      <c r="R507" s="50">
        <v>35.5</v>
      </c>
      <c r="S507" s="50">
        <v>16.7</v>
      </c>
      <c r="T507" s="50">
        <v>34</v>
      </c>
      <c r="U507" s="50">
        <v>8.64</v>
      </c>
      <c r="V507" s="50">
        <v>63.1</v>
      </c>
      <c r="W507" s="50">
        <v>55</v>
      </c>
      <c r="X507" s="50">
        <v>377</v>
      </c>
      <c r="Y507" s="50">
        <v>13.98</v>
      </c>
      <c r="Z507" s="50">
        <v>25.3</v>
      </c>
      <c r="AA507" s="50">
        <v>5.22</v>
      </c>
      <c r="AB507" s="50"/>
      <c r="AC507" s="50"/>
      <c r="AD507" s="50"/>
      <c r="AE507" s="50"/>
      <c r="AF507" s="50"/>
      <c r="AG507" s="50"/>
      <c r="AH507" s="50"/>
      <c r="AI507" s="50"/>
      <c r="AJ507" s="50"/>
    </row>
    <row r="508" spans="1:36" ht="15" customHeight="1" x14ac:dyDescent="0.25">
      <c r="A508" s="50">
        <v>102</v>
      </c>
      <c r="B508" s="50" t="s">
        <v>925</v>
      </c>
      <c r="C508" s="50" t="s">
        <v>1357</v>
      </c>
      <c r="D508" s="50">
        <v>41</v>
      </c>
      <c r="E508" s="50" t="s">
        <v>1355</v>
      </c>
      <c r="F508" s="50">
        <v>4</v>
      </c>
      <c r="G508" s="50">
        <v>5.7</v>
      </c>
      <c r="H508" s="50">
        <v>41</v>
      </c>
      <c r="I508" s="50">
        <v>3.28</v>
      </c>
      <c r="J508" s="50">
        <v>97</v>
      </c>
      <c r="K508" s="50">
        <v>91</v>
      </c>
      <c r="L508" s="50">
        <v>5.68</v>
      </c>
      <c r="M508" s="50">
        <v>5.64</v>
      </c>
      <c r="N508" s="50">
        <v>46</v>
      </c>
      <c r="O508" s="50">
        <v>12.8</v>
      </c>
      <c r="P508" s="50">
        <v>11.7</v>
      </c>
      <c r="Q508" s="50">
        <v>41.3</v>
      </c>
      <c r="R508" s="50">
        <v>39</v>
      </c>
      <c r="S508" s="50">
        <v>23.6</v>
      </c>
      <c r="T508" s="50">
        <v>40</v>
      </c>
      <c r="U508" s="50">
        <v>8.74</v>
      </c>
      <c r="V508" s="50">
        <v>65.2</v>
      </c>
      <c r="W508" s="50">
        <v>55</v>
      </c>
      <c r="X508" s="50">
        <v>393</v>
      </c>
      <c r="Y508" s="50">
        <v>13.6</v>
      </c>
      <c r="Z508" s="50">
        <v>27.3</v>
      </c>
      <c r="AA508" s="50">
        <v>5.4</v>
      </c>
      <c r="AB508" s="50"/>
      <c r="AC508" s="50"/>
      <c r="AD508" s="50"/>
      <c r="AE508" s="50"/>
      <c r="AF508" s="50"/>
      <c r="AG508" s="50"/>
      <c r="AH508" s="50"/>
      <c r="AI508" s="50"/>
      <c r="AJ508" s="50"/>
    </row>
    <row r="509" spans="1:36" ht="15" customHeight="1" x14ac:dyDescent="0.25">
      <c r="A509" s="50">
        <v>102</v>
      </c>
      <c r="B509" s="50" t="s">
        <v>925</v>
      </c>
      <c r="C509" s="50" t="s">
        <v>1357</v>
      </c>
      <c r="D509" s="50">
        <v>41</v>
      </c>
      <c r="E509" s="50" t="s">
        <v>1355</v>
      </c>
      <c r="F509" s="50">
        <v>8</v>
      </c>
      <c r="G509" s="50">
        <v>4.5999999999999996</v>
      </c>
      <c r="H509" s="50">
        <v>40</v>
      </c>
      <c r="I509" s="50">
        <v>2.9</v>
      </c>
      <c r="J509" s="50">
        <v>100</v>
      </c>
      <c r="K509" s="50">
        <v>83</v>
      </c>
      <c r="L509" s="50">
        <v>4.41</v>
      </c>
      <c r="M509" s="50">
        <v>4.58</v>
      </c>
      <c r="N509" s="50">
        <v>38</v>
      </c>
      <c r="O509" s="50">
        <v>11.4</v>
      </c>
      <c r="P509" s="50">
        <v>9.6999999999999993</v>
      </c>
      <c r="Q509" s="50">
        <v>38.5</v>
      </c>
      <c r="R509" s="50">
        <v>43.4</v>
      </c>
      <c r="S509" s="50">
        <v>25.6</v>
      </c>
      <c r="T509" s="50">
        <v>50</v>
      </c>
      <c r="U509" s="50">
        <v>8.43</v>
      </c>
      <c r="V509" s="50">
        <v>67</v>
      </c>
      <c r="W509" s="50">
        <v>59</v>
      </c>
      <c r="X509" s="50">
        <v>415</v>
      </c>
      <c r="Y509" s="50">
        <v>11.99</v>
      </c>
      <c r="Z509" s="50">
        <v>31.3</v>
      </c>
      <c r="AA509" s="50">
        <v>5.74</v>
      </c>
      <c r="AB509" s="50"/>
      <c r="AC509" s="50"/>
      <c r="AD509" s="50"/>
      <c r="AE509" s="50"/>
      <c r="AF509" s="50"/>
      <c r="AG509" s="50"/>
      <c r="AH509" s="50"/>
      <c r="AI509" s="50"/>
      <c r="AJ509" s="50"/>
    </row>
    <row r="510" spans="1:36" ht="15" customHeight="1" x14ac:dyDescent="0.25">
      <c r="A510" s="50">
        <v>102</v>
      </c>
      <c r="B510" s="50" t="s">
        <v>925</v>
      </c>
      <c r="C510" s="50" t="s">
        <v>1357</v>
      </c>
      <c r="D510" s="50">
        <v>41</v>
      </c>
      <c r="E510" s="50" t="s">
        <v>1355</v>
      </c>
      <c r="F510" s="50">
        <v>12</v>
      </c>
      <c r="G510" s="50">
        <v>4</v>
      </c>
      <c r="H510" s="50">
        <v>36</v>
      </c>
      <c r="I510" s="50">
        <v>2.52</v>
      </c>
      <c r="J510" s="50">
        <v>108</v>
      </c>
      <c r="K510" s="50">
        <v>74</v>
      </c>
      <c r="L510" s="50">
        <v>4.01</v>
      </c>
      <c r="M510" s="50">
        <v>3.97</v>
      </c>
      <c r="N510" s="50">
        <v>38</v>
      </c>
      <c r="O510" s="50">
        <v>11.1</v>
      </c>
      <c r="P510" s="50">
        <v>9.5</v>
      </c>
      <c r="Q510" s="50">
        <v>39.299999999999997</v>
      </c>
      <c r="R510" s="50">
        <v>51.6</v>
      </c>
      <c r="S510" s="50">
        <v>28.5</v>
      </c>
      <c r="T510" s="50">
        <v>58</v>
      </c>
      <c r="U510" s="50">
        <v>7.66</v>
      </c>
      <c r="V510" s="50">
        <v>68.5</v>
      </c>
      <c r="W510" s="50">
        <v>62</v>
      </c>
      <c r="X510" s="50">
        <v>435</v>
      </c>
      <c r="Y510" s="50">
        <v>12.05</v>
      </c>
      <c r="Z510" s="50">
        <v>35.1</v>
      </c>
      <c r="AA510" s="50">
        <v>6.38</v>
      </c>
      <c r="AB510" s="50"/>
      <c r="AC510" s="50"/>
      <c r="AD510" s="50"/>
      <c r="AE510" s="50"/>
      <c r="AF510" s="50"/>
      <c r="AG510" s="50"/>
      <c r="AH510" s="50"/>
      <c r="AI510" s="50"/>
      <c r="AJ510" s="50"/>
    </row>
    <row r="511" spans="1:36" ht="15" customHeight="1" x14ac:dyDescent="0.25">
      <c r="A511" s="50">
        <v>102</v>
      </c>
      <c r="B511" s="50" t="s">
        <v>925</v>
      </c>
      <c r="C511" s="50" t="s">
        <v>1357</v>
      </c>
      <c r="D511" s="50">
        <v>41</v>
      </c>
      <c r="E511" s="50" t="s">
        <v>1355</v>
      </c>
      <c r="F511" s="50">
        <v>21</v>
      </c>
      <c r="G511" s="50">
        <v>2.8</v>
      </c>
      <c r="H511" s="50">
        <v>29</v>
      </c>
      <c r="I511" s="50">
        <v>1.88</v>
      </c>
      <c r="J511" s="50">
        <v>119</v>
      </c>
      <c r="K511" s="50">
        <v>55</v>
      </c>
      <c r="L511" s="50">
        <v>2.37</v>
      </c>
      <c r="M511" s="50">
        <v>2.89</v>
      </c>
      <c r="N511" s="50">
        <v>36</v>
      </c>
      <c r="O511" s="50">
        <v>9.9</v>
      </c>
      <c r="P511" s="50">
        <v>7.8</v>
      </c>
      <c r="Q511" s="50">
        <v>34.700000000000003</v>
      </c>
      <c r="R511" s="50">
        <v>56.8</v>
      </c>
      <c r="S511" s="50">
        <v>36.799999999999997</v>
      </c>
      <c r="T511" s="50">
        <v>71</v>
      </c>
      <c r="U511" s="50">
        <v>5.26</v>
      </c>
      <c r="V511" s="50">
        <v>69.2</v>
      </c>
      <c r="W511" s="50">
        <v>63</v>
      </c>
      <c r="X511" s="50">
        <v>471</v>
      </c>
      <c r="Y511" s="50">
        <v>9.81</v>
      </c>
      <c r="Z511" s="50">
        <v>38.700000000000003</v>
      </c>
      <c r="AA511" s="50">
        <v>6.82</v>
      </c>
      <c r="AB511" s="50"/>
      <c r="AC511" s="50"/>
      <c r="AD511" s="50"/>
      <c r="AE511" s="50"/>
      <c r="AF511" s="50"/>
      <c r="AG511" s="50"/>
      <c r="AH511" s="50"/>
      <c r="AI511" s="50"/>
      <c r="AJ511" s="50"/>
    </row>
    <row r="512" spans="1:36" ht="15" customHeight="1" x14ac:dyDescent="0.25">
      <c r="A512" s="50">
        <v>103</v>
      </c>
      <c r="B512" s="50" t="s">
        <v>925</v>
      </c>
      <c r="C512" s="50" t="s">
        <v>1352</v>
      </c>
      <c r="D512" s="50">
        <v>41</v>
      </c>
      <c r="E512" s="50" t="s">
        <v>1360</v>
      </c>
      <c r="F512" s="50">
        <v>0</v>
      </c>
      <c r="G512" s="50">
        <v>6.6</v>
      </c>
      <c r="H512" s="50">
        <v>44</v>
      </c>
      <c r="I512" s="50">
        <v>3.24</v>
      </c>
      <c r="J512" s="50">
        <v>79</v>
      </c>
      <c r="K512" s="50">
        <v>100</v>
      </c>
      <c r="L512" s="50">
        <v>7.13</v>
      </c>
      <c r="M512" s="50">
        <v>6.44</v>
      </c>
      <c r="N512" s="50">
        <v>47</v>
      </c>
      <c r="O512" s="50">
        <v>8.6</v>
      </c>
      <c r="P512" s="50">
        <v>13.9</v>
      </c>
      <c r="Q512" s="50">
        <v>58.3</v>
      </c>
      <c r="R512" s="50">
        <v>39.6</v>
      </c>
      <c r="S512" s="50">
        <v>26</v>
      </c>
      <c r="T512" s="50">
        <v>32</v>
      </c>
      <c r="U512" s="50">
        <v>10.36</v>
      </c>
      <c r="V512" s="50">
        <v>60.3</v>
      </c>
      <c r="W512" s="50">
        <v>48</v>
      </c>
      <c r="X512" s="50">
        <v>315</v>
      </c>
      <c r="Y512" s="50">
        <v>12.27</v>
      </c>
      <c r="Z512" s="50">
        <v>18.3</v>
      </c>
      <c r="AA512" s="50">
        <v>4.68</v>
      </c>
      <c r="AB512" s="50"/>
      <c r="AC512" s="50"/>
      <c r="AD512" s="50"/>
      <c r="AE512" s="50"/>
      <c r="AF512" s="50"/>
      <c r="AG512" s="50"/>
      <c r="AH512" s="50"/>
      <c r="AI512" s="50"/>
      <c r="AJ512" s="50"/>
    </row>
    <row r="513" spans="1:36" ht="15" customHeight="1" x14ac:dyDescent="0.25">
      <c r="A513" s="50">
        <v>103</v>
      </c>
      <c r="B513" s="50" t="s">
        <v>925</v>
      </c>
      <c r="C513" s="50" t="s">
        <v>1352</v>
      </c>
      <c r="D513" s="50">
        <v>41</v>
      </c>
      <c r="E513" s="50" t="s">
        <v>1360</v>
      </c>
      <c r="F513" s="50">
        <v>4</v>
      </c>
      <c r="G513" s="50">
        <v>6</v>
      </c>
      <c r="H513" s="50">
        <v>40</v>
      </c>
      <c r="I513" s="50">
        <v>2.97</v>
      </c>
      <c r="J513" s="50">
        <v>80</v>
      </c>
      <c r="K513" s="50">
        <v>91</v>
      </c>
      <c r="L513" s="50">
        <v>6.47</v>
      </c>
      <c r="M513" s="50">
        <v>6.18</v>
      </c>
      <c r="N513" s="50">
        <v>45</v>
      </c>
      <c r="O513" s="50">
        <v>8.1</v>
      </c>
      <c r="P513" s="50">
        <v>13.8</v>
      </c>
      <c r="Q513" s="50">
        <v>53.8</v>
      </c>
      <c r="R513" s="50">
        <v>44.1</v>
      </c>
      <c r="S513" s="50">
        <v>28.8</v>
      </c>
      <c r="T513" s="50">
        <v>36</v>
      </c>
      <c r="U513" s="50">
        <v>10.77</v>
      </c>
      <c r="V513" s="50">
        <v>63.3</v>
      </c>
      <c r="W513" s="50">
        <v>49</v>
      </c>
      <c r="X513" s="50">
        <v>322</v>
      </c>
      <c r="Y513" s="50">
        <v>11.26</v>
      </c>
      <c r="Z513" s="50">
        <v>21.8</v>
      </c>
      <c r="AA513" s="50">
        <v>5.13</v>
      </c>
      <c r="AB513" s="50"/>
      <c r="AC513" s="50"/>
      <c r="AD513" s="50"/>
      <c r="AE513" s="50"/>
      <c r="AF513" s="50"/>
      <c r="AG513" s="50"/>
      <c r="AH513" s="50"/>
      <c r="AI513" s="50"/>
      <c r="AJ513" s="50"/>
    </row>
    <row r="514" spans="1:36" ht="15" customHeight="1" x14ac:dyDescent="0.25">
      <c r="A514" s="50">
        <v>103</v>
      </c>
      <c r="B514" s="50" t="s">
        <v>925</v>
      </c>
      <c r="C514" s="50" t="s">
        <v>1352</v>
      </c>
      <c r="D514" s="50">
        <v>41</v>
      </c>
      <c r="E514" s="50" t="s">
        <v>1360</v>
      </c>
      <c r="F514" s="50">
        <v>8</v>
      </c>
      <c r="G514" s="50">
        <v>5.0999999999999996</v>
      </c>
      <c r="H514" s="50">
        <v>38</v>
      </c>
      <c r="I514" s="50">
        <v>2.65</v>
      </c>
      <c r="J514" s="50">
        <v>91</v>
      </c>
      <c r="K514" s="50">
        <v>83</v>
      </c>
      <c r="L514" s="50">
        <v>6.01</v>
      </c>
      <c r="M514" s="50">
        <v>4.9000000000000004</v>
      </c>
      <c r="N514" s="50">
        <v>41</v>
      </c>
      <c r="O514" s="50">
        <v>8.5</v>
      </c>
      <c r="P514" s="50">
        <v>12.8</v>
      </c>
      <c r="Q514" s="50">
        <v>49.3</v>
      </c>
      <c r="R514" s="50">
        <v>47.7</v>
      </c>
      <c r="S514" s="50">
        <v>31.2</v>
      </c>
      <c r="T514" s="50">
        <v>49</v>
      </c>
      <c r="U514" s="50">
        <v>9.33</v>
      </c>
      <c r="V514" s="50">
        <v>63.3</v>
      </c>
      <c r="W514" s="50">
        <v>57</v>
      </c>
      <c r="X514" s="50">
        <v>381</v>
      </c>
      <c r="Y514" s="50">
        <v>10.63</v>
      </c>
      <c r="Z514" s="50">
        <v>26.7</v>
      </c>
      <c r="AA514" s="50">
        <v>5.19</v>
      </c>
      <c r="AB514" s="50"/>
      <c r="AC514" s="50"/>
      <c r="AD514" s="50"/>
      <c r="AE514" s="50"/>
      <c r="AF514" s="50"/>
      <c r="AG514" s="50"/>
      <c r="AH514" s="50"/>
      <c r="AI514" s="50"/>
      <c r="AJ514" s="50"/>
    </row>
    <row r="515" spans="1:36" ht="15" customHeight="1" x14ac:dyDescent="0.25">
      <c r="A515" s="50">
        <v>103</v>
      </c>
      <c r="B515" s="50" t="s">
        <v>925</v>
      </c>
      <c r="C515" s="50" t="s">
        <v>1352</v>
      </c>
      <c r="D515" s="50">
        <v>41</v>
      </c>
      <c r="E515" s="50" t="s">
        <v>1360</v>
      </c>
      <c r="F515" s="50">
        <v>12</v>
      </c>
      <c r="G515" s="50">
        <v>4.3</v>
      </c>
      <c r="H515" s="50">
        <v>33</v>
      </c>
      <c r="I515" s="50">
        <v>2.3199999999999998</v>
      </c>
      <c r="J515" s="50">
        <v>93</v>
      </c>
      <c r="K515" s="50">
        <v>74</v>
      </c>
      <c r="L515" s="50">
        <v>5.44</v>
      </c>
      <c r="M515" s="50">
        <v>4.13</v>
      </c>
      <c r="N515" s="50">
        <v>39</v>
      </c>
      <c r="O515" s="50">
        <v>8.1999999999999993</v>
      </c>
      <c r="P515" s="50">
        <v>11.2</v>
      </c>
      <c r="Q515" s="50">
        <v>41.5</v>
      </c>
      <c r="R515" s="50">
        <v>53.1</v>
      </c>
      <c r="S515" s="50">
        <v>31.1</v>
      </c>
      <c r="T515" s="50">
        <v>58</v>
      </c>
      <c r="U515" s="50">
        <v>8.77</v>
      </c>
      <c r="V515" s="50">
        <v>62.7</v>
      </c>
      <c r="W515" s="50">
        <v>58</v>
      </c>
      <c r="X515" s="50">
        <v>404</v>
      </c>
      <c r="Y515" s="50">
        <v>9.94</v>
      </c>
      <c r="Z515" s="50">
        <v>30.1</v>
      </c>
      <c r="AA515" s="50">
        <v>5.87</v>
      </c>
      <c r="AB515" s="50"/>
      <c r="AC515" s="50"/>
      <c r="AD515" s="50"/>
      <c r="AE515" s="50"/>
      <c r="AF515" s="50"/>
      <c r="AG515" s="50"/>
      <c r="AH515" s="50"/>
      <c r="AI515" s="50"/>
      <c r="AJ515" s="50"/>
    </row>
    <row r="516" spans="1:36" ht="15" customHeight="1" x14ac:dyDescent="0.25">
      <c r="A516" s="50">
        <v>103</v>
      </c>
      <c r="B516" s="50" t="s">
        <v>925</v>
      </c>
      <c r="C516" s="50" t="s">
        <v>1352</v>
      </c>
      <c r="D516" s="50">
        <v>41</v>
      </c>
      <c r="E516" s="50" t="s">
        <v>1360</v>
      </c>
      <c r="F516" s="50">
        <v>21</v>
      </c>
      <c r="G516" s="50">
        <v>2.9</v>
      </c>
      <c r="H516" s="50">
        <v>26</v>
      </c>
      <c r="I516" s="50">
        <v>1.71</v>
      </c>
      <c r="J516" s="50">
        <v>103</v>
      </c>
      <c r="K516" s="50">
        <v>55</v>
      </c>
      <c r="L516" s="50">
        <v>4.0999999999999996</v>
      </c>
      <c r="M516" s="50">
        <v>2.66</v>
      </c>
      <c r="N516" s="50">
        <v>33</v>
      </c>
      <c r="O516" s="50">
        <v>9.5</v>
      </c>
      <c r="P516" s="50">
        <v>10.7</v>
      </c>
      <c r="Q516" s="50">
        <v>28.5</v>
      </c>
      <c r="R516" s="50">
        <v>62.6</v>
      </c>
      <c r="S516" s="50">
        <v>33.9</v>
      </c>
      <c r="T516" s="50">
        <v>71</v>
      </c>
      <c r="U516" s="50">
        <v>7.45</v>
      </c>
      <c r="V516" s="50">
        <v>67.900000000000006</v>
      </c>
      <c r="W516" s="50">
        <v>67</v>
      </c>
      <c r="X516" s="50">
        <v>462</v>
      </c>
      <c r="Y516" s="50">
        <v>9.91</v>
      </c>
      <c r="Z516" s="50">
        <v>36.9</v>
      </c>
      <c r="AA516" s="50">
        <v>6.44</v>
      </c>
      <c r="AB516" s="50"/>
      <c r="AC516" s="50"/>
      <c r="AD516" s="50"/>
      <c r="AE516" s="50"/>
      <c r="AF516" s="50"/>
      <c r="AG516" s="50"/>
      <c r="AH516" s="50"/>
      <c r="AI516" s="50"/>
      <c r="AJ516" s="50"/>
    </row>
    <row r="517" spans="1:36" ht="15" customHeight="1" x14ac:dyDescent="0.25">
      <c r="A517" s="50">
        <v>104</v>
      </c>
      <c r="B517" s="50" t="s">
        <v>925</v>
      </c>
      <c r="C517" s="50" t="s">
        <v>1352</v>
      </c>
      <c r="D517" s="50">
        <v>37</v>
      </c>
      <c r="E517" s="50" t="s">
        <v>1360</v>
      </c>
      <c r="F517" s="50">
        <v>0</v>
      </c>
      <c r="G517" s="50">
        <v>6.5</v>
      </c>
      <c r="H517" s="50">
        <v>45</v>
      </c>
      <c r="I517" s="50">
        <v>3.53</v>
      </c>
      <c r="J517" s="50">
        <v>93</v>
      </c>
      <c r="K517" s="50">
        <v>100</v>
      </c>
      <c r="L517" s="50">
        <v>6.81</v>
      </c>
      <c r="M517" s="50">
        <v>5.54</v>
      </c>
      <c r="N517" s="50">
        <v>39</v>
      </c>
      <c r="O517" s="50">
        <v>12.3</v>
      </c>
      <c r="P517" s="50">
        <v>11.7</v>
      </c>
      <c r="Q517" s="50">
        <v>44</v>
      </c>
      <c r="R517" s="50">
        <v>33.6</v>
      </c>
      <c r="S517" s="50">
        <v>22.4</v>
      </c>
      <c r="T517" s="50">
        <v>40</v>
      </c>
      <c r="U517" s="50">
        <v>1.65</v>
      </c>
      <c r="V517" s="50">
        <v>55.7</v>
      </c>
      <c r="W517" s="50">
        <v>38</v>
      </c>
      <c r="X517" s="50">
        <v>399</v>
      </c>
      <c r="Y517" s="50">
        <v>14.23</v>
      </c>
      <c r="Z517" s="50">
        <v>28.7</v>
      </c>
      <c r="AA517" s="50">
        <v>4.1399999999999997</v>
      </c>
      <c r="AB517" s="50"/>
      <c r="AC517" s="50"/>
      <c r="AD517" s="50"/>
      <c r="AE517" s="50"/>
      <c r="AF517" s="50"/>
      <c r="AG517" s="50"/>
      <c r="AH517" s="50"/>
      <c r="AI517" s="50"/>
      <c r="AJ517" s="50"/>
    </row>
    <row r="518" spans="1:36" ht="15" customHeight="1" x14ac:dyDescent="0.25">
      <c r="A518" s="50">
        <v>104</v>
      </c>
      <c r="B518" s="50" t="s">
        <v>925</v>
      </c>
      <c r="C518" s="50" t="s">
        <v>1352</v>
      </c>
      <c r="D518" s="50">
        <v>37</v>
      </c>
      <c r="E518" s="50" t="s">
        <v>1360</v>
      </c>
      <c r="F518" s="50">
        <v>4</v>
      </c>
      <c r="G518" s="50">
        <v>5.8</v>
      </c>
      <c r="H518" s="50">
        <v>42</v>
      </c>
      <c r="I518" s="50">
        <v>3.17</v>
      </c>
      <c r="J518" s="50">
        <v>103</v>
      </c>
      <c r="K518" s="50">
        <v>91</v>
      </c>
      <c r="L518" s="50">
        <v>6.21</v>
      </c>
      <c r="M518" s="50">
        <v>5.0599999999999996</v>
      </c>
      <c r="N518" s="50">
        <v>35</v>
      </c>
      <c r="O518" s="50">
        <v>11.7</v>
      </c>
      <c r="P518" s="50">
        <v>12.1</v>
      </c>
      <c r="Q518" s="50">
        <v>38.6</v>
      </c>
      <c r="R518" s="50">
        <v>39.5</v>
      </c>
      <c r="S518" s="50">
        <v>25.4</v>
      </c>
      <c r="T518" s="50">
        <v>42</v>
      </c>
      <c r="U518" s="50">
        <v>1.66</v>
      </c>
      <c r="V518" s="50">
        <v>56.4</v>
      </c>
      <c r="W518" s="50">
        <v>45</v>
      </c>
      <c r="X518" s="50">
        <v>423</v>
      </c>
      <c r="Y518" s="50">
        <v>13.73</v>
      </c>
      <c r="Z518" s="50">
        <v>30.9</v>
      </c>
      <c r="AA518" s="50">
        <v>4.87</v>
      </c>
      <c r="AB518" s="50"/>
      <c r="AC518" s="50"/>
      <c r="AD518" s="50"/>
      <c r="AE518" s="50"/>
      <c r="AF518" s="50"/>
      <c r="AG518" s="50"/>
      <c r="AH518" s="50"/>
      <c r="AI518" s="50"/>
      <c r="AJ518" s="50"/>
    </row>
    <row r="519" spans="1:36" ht="15" customHeight="1" x14ac:dyDescent="0.25">
      <c r="A519" s="50">
        <v>104</v>
      </c>
      <c r="B519" s="50" t="s">
        <v>925</v>
      </c>
      <c r="C519" s="50" t="s">
        <v>1352</v>
      </c>
      <c r="D519" s="50">
        <v>37</v>
      </c>
      <c r="E519" s="50" t="s">
        <v>1360</v>
      </c>
      <c r="F519" s="50">
        <v>8</v>
      </c>
      <c r="G519" s="50">
        <v>5.3</v>
      </c>
      <c r="H519" s="50">
        <v>38</v>
      </c>
      <c r="I519" s="50">
        <v>2.84</v>
      </c>
      <c r="J519" s="50">
        <v>108</v>
      </c>
      <c r="K519" s="50">
        <v>83</v>
      </c>
      <c r="L519" s="50">
        <v>5.69</v>
      </c>
      <c r="M519" s="50">
        <v>4.58</v>
      </c>
      <c r="N519" s="50">
        <v>33</v>
      </c>
      <c r="O519" s="50">
        <v>11.2</v>
      </c>
      <c r="P519" s="50">
        <v>10.1</v>
      </c>
      <c r="Q519" s="50">
        <v>40.700000000000003</v>
      </c>
      <c r="R519" s="50">
        <v>42.9</v>
      </c>
      <c r="S519" s="50">
        <v>27.8</v>
      </c>
      <c r="T519" s="50">
        <v>48</v>
      </c>
      <c r="U519" s="50">
        <v>1.65</v>
      </c>
      <c r="V519" s="50">
        <v>59.9</v>
      </c>
      <c r="W519" s="50">
        <v>45</v>
      </c>
      <c r="X519" s="50">
        <v>446</v>
      </c>
      <c r="Y519" s="50">
        <v>12.82</v>
      </c>
      <c r="Z519" s="50">
        <v>32.9</v>
      </c>
      <c r="AA519" s="50">
        <v>4.8899999999999997</v>
      </c>
      <c r="AB519" s="50"/>
      <c r="AC519" s="50"/>
      <c r="AD519" s="50"/>
      <c r="AE519" s="50"/>
      <c r="AF519" s="50"/>
      <c r="AG519" s="50"/>
      <c r="AH519" s="50"/>
      <c r="AI519" s="50"/>
      <c r="AJ519" s="50"/>
    </row>
    <row r="520" spans="1:36" ht="15" customHeight="1" x14ac:dyDescent="0.25">
      <c r="A520" s="50">
        <v>104</v>
      </c>
      <c r="B520" s="50" t="s">
        <v>925</v>
      </c>
      <c r="C520" s="50" t="s">
        <v>1352</v>
      </c>
      <c r="D520" s="50">
        <v>37</v>
      </c>
      <c r="E520" s="50" t="s">
        <v>1360</v>
      </c>
      <c r="F520" s="50">
        <v>12</v>
      </c>
      <c r="G520" s="50">
        <v>4.3</v>
      </c>
      <c r="H520" s="50">
        <v>34</v>
      </c>
      <c r="I520" s="50">
        <v>2.4900000000000002</v>
      </c>
      <c r="J520" s="50">
        <v>113</v>
      </c>
      <c r="K520" s="50">
        <v>74</v>
      </c>
      <c r="L520" s="50">
        <v>4.43</v>
      </c>
      <c r="M520" s="50">
        <v>4.1500000000000004</v>
      </c>
      <c r="N520" s="50">
        <v>33</v>
      </c>
      <c r="O520" s="50">
        <v>10.3</v>
      </c>
      <c r="P520" s="50">
        <v>10.9</v>
      </c>
      <c r="Q520" s="50">
        <v>35.1</v>
      </c>
      <c r="R520" s="50">
        <v>45</v>
      </c>
      <c r="S520" s="50">
        <v>30.5</v>
      </c>
      <c r="T520" s="50">
        <v>56</v>
      </c>
      <c r="U520" s="50">
        <v>1.66</v>
      </c>
      <c r="V520" s="50">
        <v>64.900000000000006</v>
      </c>
      <c r="W520" s="50">
        <v>52</v>
      </c>
      <c r="X520" s="50">
        <v>475</v>
      </c>
      <c r="Y520" s="50">
        <v>12.1</v>
      </c>
      <c r="Z520" s="50">
        <v>37.6</v>
      </c>
      <c r="AA520" s="50">
        <v>4.99</v>
      </c>
      <c r="AB520" s="50"/>
      <c r="AC520" s="50"/>
      <c r="AD520" s="50"/>
      <c r="AE520" s="50"/>
      <c r="AF520" s="50"/>
      <c r="AG520" s="50"/>
      <c r="AH520" s="50"/>
      <c r="AI520" s="50"/>
      <c r="AJ520" s="50"/>
    </row>
    <row r="521" spans="1:36" ht="15" customHeight="1" x14ac:dyDescent="0.25">
      <c r="A521" s="50">
        <v>104</v>
      </c>
      <c r="B521" s="50" t="s">
        <v>925</v>
      </c>
      <c r="C521" s="50" t="s">
        <v>1352</v>
      </c>
      <c r="D521" s="50">
        <v>37</v>
      </c>
      <c r="E521" s="50" t="s">
        <v>1360</v>
      </c>
      <c r="F521" s="50">
        <v>21</v>
      </c>
      <c r="G521" s="50">
        <v>2.6</v>
      </c>
      <c r="H521" s="50">
        <v>28</v>
      </c>
      <c r="I521" s="50">
        <v>1.8</v>
      </c>
      <c r="J521" s="50">
        <v>118</v>
      </c>
      <c r="K521" s="50">
        <v>55</v>
      </c>
      <c r="L521" s="50">
        <v>2.89</v>
      </c>
      <c r="M521" s="50">
        <v>3.12</v>
      </c>
      <c r="N521" s="50">
        <v>28</v>
      </c>
      <c r="O521" s="50">
        <v>9.6</v>
      </c>
      <c r="P521" s="50">
        <v>9.6999999999999993</v>
      </c>
      <c r="Q521" s="50">
        <v>31.5</v>
      </c>
      <c r="R521" s="50">
        <v>54.1</v>
      </c>
      <c r="S521" s="50">
        <v>38</v>
      </c>
      <c r="T521" s="50">
        <v>68</v>
      </c>
      <c r="U521" s="50">
        <v>1.66</v>
      </c>
      <c r="V521" s="50">
        <v>69.8</v>
      </c>
      <c r="W521" s="50">
        <v>61</v>
      </c>
      <c r="X521" s="50">
        <v>544</v>
      </c>
      <c r="Y521" s="50">
        <v>10.41</v>
      </c>
      <c r="Z521" s="50">
        <v>43.5</v>
      </c>
      <c r="AA521" s="50">
        <v>6.15</v>
      </c>
      <c r="AB521" s="50"/>
      <c r="AC521" s="50"/>
      <c r="AD521" s="50"/>
      <c r="AE521" s="50"/>
      <c r="AF521" s="50"/>
      <c r="AG521" s="50"/>
      <c r="AH521" s="50"/>
      <c r="AI521" s="50"/>
      <c r="AJ521" s="50"/>
    </row>
    <row r="522" spans="1:36" ht="15" customHeight="1" x14ac:dyDescent="0.25">
      <c r="A522" s="50">
        <v>105</v>
      </c>
      <c r="B522" s="50" t="s">
        <v>925</v>
      </c>
      <c r="C522" s="50" t="s">
        <v>1357</v>
      </c>
      <c r="D522" s="50">
        <v>37</v>
      </c>
      <c r="E522" s="50" t="s">
        <v>1359</v>
      </c>
      <c r="F522" s="50">
        <v>0</v>
      </c>
      <c r="G522" s="50">
        <v>6.8</v>
      </c>
      <c r="H522" s="50">
        <v>42</v>
      </c>
      <c r="I522" s="50">
        <v>4.67</v>
      </c>
      <c r="J522" s="50">
        <v>94</v>
      </c>
      <c r="K522" s="50">
        <v>100</v>
      </c>
      <c r="L522" s="50">
        <v>6.63</v>
      </c>
      <c r="M522" s="50">
        <v>7.14</v>
      </c>
      <c r="N522" s="50">
        <v>34</v>
      </c>
      <c r="O522" s="50">
        <v>13.7</v>
      </c>
      <c r="P522" s="50">
        <v>10.9</v>
      </c>
      <c r="Q522" s="50">
        <v>44.8</v>
      </c>
      <c r="R522" s="50">
        <v>32.5</v>
      </c>
      <c r="S522" s="50">
        <v>9.5</v>
      </c>
      <c r="T522" s="50">
        <v>36</v>
      </c>
      <c r="U522" s="50">
        <v>11.49</v>
      </c>
      <c r="V522" s="50">
        <v>57.6</v>
      </c>
      <c r="W522" s="50">
        <v>53</v>
      </c>
      <c r="X522" s="50">
        <v>339</v>
      </c>
      <c r="Y522" s="50">
        <v>14.98</v>
      </c>
      <c r="Z522" s="50">
        <v>24.8</v>
      </c>
      <c r="AA522" s="50">
        <v>4.91</v>
      </c>
      <c r="AB522" s="50"/>
      <c r="AC522" s="50"/>
      <c r="AD522" s="50"/>
      <c r="AE522" s="50"/>
      <c r="AF522" s="50"/>
      <c r="AG522" s="50"/>
      <c r="AH522" s="50"/>
      <c r="AI522" s="50"/>
      <c r="AJ522" s="50"/>
    </row>
    <row r="523" spans="1:36" ht="15" customHeight="1" x14ac:dyDescent="0.25">
      <c r="A523" s="50">
        <v>105</v>
      </c>
      <c r="B523" s="50" t="s">
        <v>925</v>
      </c>
      <c r="C523" s="50" t="s">
        <v>1357</v>
      </c>
      <c r="D523" s="50">
        <v>37</v>
      </c>
      <c r="E523" s="50" t="s">
        <v>1359</v>
      </c>
      <c r="F523" s="50">
        <v>4</v>
      </c>
      <c r="G523" s="50">
        <v>6.5</v>
      </c>
      <c r="H523" s="50">
        <v>40</v>
      </c>
      <c r="I523" s="50">
        <v>4.16</v>
      </c>
      <c r="J523" s="50">
        <v>98</v>
      </c>
      <c r="K523" s="50">
        <v>91</v>
      </c>
      <c r="L523" s="50">
        <v>6.37</v>
      </c>
      <c r="M523" s="50">
        <v>6.79</v>
      </c>
      <c r="N523" s="50">
        <v>30</v>
      </c>
      <c r="O523" s="50">
        <v>14.3</v>
      </c>
      <c r="P523" s="50">
        <v>11.2</v>
      </c>
      <c r="Q523" s="50">
        <v>45</v>
      </c>
      <c r="R523" s="50">
        <v>32.4</v>
      </c>
      <c r="S523" s="50">
        <v>11.7</v>
      </c>
      <c r="T523" s="50">
        <v>39</v>
      </c>
      <c r="U523" s="50">
        <v>10.7</v>
      </c>
      <c r="V523" s="50">
        <v>57.6</v>
      </c>
      <c r="W523" s="50">
        <v>52</v>
      </c>
      <c r="X523" s="50">
        <v>356</v>
      </c>
      <c r="Y523" s="50">
        <v>14.6</v>
      </c>
      <c r="Z523" s="50">
        <v>26.7</v>
      </c>
      <c r="AA523" s="50">
        <v>5.4</v>
      </c>
      <c r="AB523" s="50"/>
      <c r="AC523" s="50"/>
      <c r="AD523" s="50"/>
      <c r="AE523" s="50"/>
      <c r="AF523" s="50"/>
      <c r="AG523" s="50"/>
      <c r="AH523" s="50"/>
      <c r="AI523" s="50"/>
      <c r="AJ523" s="50"/>
    </row>
    <row r="524" spans="1:36" ht="15" customHeight="1" x14ac:dyDescent="0.25">
      <c r="A524" s="50">
        <v>105</v>
      </c>
      <c r="B524" s="50" t="s">
        <v>925</v>
      </c>
      <c r="C524" s="50" t="s">
        <v>1357</v>
      </c>
      <c r="D524" s="50">
        <v>37</v>
      </c>
      <c r="E524" s="50" t="s">
        <v>1359</v>
      </c>
      <c r="F524" s="50">
        <v>8</v>
      </c>
      <c r="G524" s="50">
        <v>5.6</v>
      </c>
      <c r="H524" s="50">
        <v>35</v>
      </c>
      <c r="I524" s="50">
        <v>3.75</v>
      </c>
      <c r="J524" s="50">
        <v>104</v>
      </c>
      <c r="K524" s="50">
        <v>83</v>
      </c>
      <c r="L524" s="50">
        <v>5.8</v>
      </c>
      <c r="M524" s="50">
        <v>5.73</v>
      </c>
      <c r="N524" s="50">
        <v>31</v>
      </c>
      <c r="O524" s="50">
        <v>13.3</v>
      </c>
      <c r="P524" s="50">
        <v>11</v>
      </c>
      <c r="Q524" s="50">
        <v>41.8</v>
      </c>
      <c r="R524" s="50">
        <v>38.6</v>
      </c>
      <c r="S524" s="50">
        <v>17.8</v>
      </c>
      <c r="T524" s="50">
        <v>43</v>
      </c>
      <c r="U524" s="50">
        <v>9.65</v>
      </c>
      <c r="V524" s="50">
        <v>58.8</v>
      </c>
      <c r="W524" s="50">
        <v>55</v>
      </c>
      <c r="X524" s="50">
        <v>367</v>
      </c>
      <c r="Y524" s="50">
        <v>13.49</v>
      </c>
      <c r="Z524" s="50">
        <v>27.9</v>
      </c>
      <c r="AA524" s="50">
        <v>5.38</v>
      </c>
      <c r="AB524" s="50"/>
      <c r="AC524" s="50"/>
      <c r="AD524" s="50"/>
      <c r="AE524" s="50"/>
      <c r="AF524" s="50"/>
      <c r="AG524" s="50"/>
      <c r="AH524" s="50"/>
      <c r="AI524" s="50"/>
      <c r="AJ524" s="50"/>
    </row>
    <row r="525" spans="1:36" ht="15" customHeight="1" x14ac:dyDescent="0.25">
      <c r="A525" s="50">
        <v>105</v>
      </c>
      <c r="B525" s="50" t="s">
        <v>925</v>
      </c>
      <c r="C525" s="50" t="s">
        <v>1357</v>
      </c>
      <c r="D525" s="50">
        <v>37</v>
      </c>
      <c r="E525" s="50" t="s">
        <v>1359</v>
      </c>
      <c r="F525" s="50">
        <v>12</v>
      </c>
      <c r="G525" s="50">
        <v>4.7</v>
      </c>
      <c r="H525" s="50">
        <v>32</v>
      </c>
      <c r="I525" s="50">
        <v>3.35</v>
      </c>
      <c r="J525" s="50">
        <v>106</v>
      </c>
      <c r="K525" s="50">
        <v>74</v>
      </c>
      <c r="L525" s="50">
        <v>5.24</v>
      </c>
      <c r="M525" s="50">
        <v>5.0999999999999996</v>
      </c>
      <c r="N525" s="50">
        <v>28</v>
      </c>
      <c r="O525" s="50">
        <v>11.7</v>
      </c>
      <c r="P525" s="50">
        <v>10.1</v>
      </c>
      <c r="Q525" s="50">
        <v>36.4</v>
      </c>
      <c r="R525" s="50">
        <v>46.2</v>
      </c>
      <c r="S525" s="50">
        <v>25.3</v>
      </c>
      <c r="T525" s="50">
        <v>51</v>
      </c>
      <c r="U525" s="50">
        <v>8</v>
      </c>
      <c r="V525" s="50">
        <v>60.7</v>
      </c>
      <c r="W525" s="50">
        <v>62</v>
      </c>
      <c r="X525" s="50">
        <v>415</v>
      </c>
      <c r="Y525" s="50">
        <v>12.49</v>
      </c>
      <c r="Z525" s="50">
        <v>31.4</v>
      </c>
      <c r="AA525" s="50">
        <v>5.52</v>
      </c>
      <c r="AB525" s="50"/>
      <c r="AC525" s="50"/>
      <c r="AD525" s="50"/>
      <c r="AE525" s="50"/>
      <c r="AF525" s="50"/>
      <c r="AG525" s="50"/>
      <c r="AH525" s="50"/>
      <c r="AI525" s="50"/>
      <c r="AJ525" s="50"/>
    </row>
    <row r="526" spans="1:36" ht="15" customHeight="1" x14ac:dyDescent="0.25">
      <c r="A526" s="50">
        <v>105</v>
      </c>
      <c r="B526" s="50" t="s">
        <v>925</v>
      </c>
      <c r="C526" s="50" t="s">
        <v>1357</v>
      </c>
      <c r="D526" s="50">
        <v>37</v>
      </c>
      <c r="E526" s="50" t="s">
        <v>1359</v>
      </c>
      <c r="F526" s="50">
        <v>21</v>
      </c>
      <c r="G526" s="50">
        <v>3</v>
      </c>
      <c r="H526" s="50">
        <v>24</v>
      </c>
      <c r="I526" s="50">
        <v>2.3199999999999998</v>
      </c>
      <c r="J526" s="50">
        <v>120</v>
      </c>
      <c r="K526" s="50">
        <v>55</v>
      </c>
      <c r="L526" s="50">
        <v>3.83</v>
      </c>
      <c r="M526" s="50">
        <v>3.34</v>
      </c>
      <c r="N526" s="50">
        <v>22</v>
      </c>
      <c r="O526" s="50">
        <v>11.4</v>
      </c>
      <c r="P526" s="50">
        <v>8.4</v>
      </c>
      <c r="Q526" s="50">
        <v>33.4</v>
      </c>
      <c r="R526" s="50">
        <v>59</v>
      </c>
      <c r="S526" s="50">
        <v>34.9</v>
      </c>
      <c r="T526" s="50">
        <v>72</v>
      </c>
      <c r="U526" s="50">
        <v>8.2100000000000009</v>
      </c>
      <c r="V526" s="50">
        <v>62</v>
      </c>
      <c r="W526" s="50">
        <v>74</v>
      </c>
      <c r="X526" s="50">
        <v>449</v>
      </c>
      <c r="Y526" s="50">
        <v>10.59</v>
      </c>
      <c r="Z526" s="50">
        <v>35.299999999999997</v>
      </c>
      <c r="AA526" s="50">
        <v>6.41</v>
      </c>
      <c r="AB526" s="50"/>
      <c r="AC526" s="50"/>
      <c r="AD526" s="50"/>
      <c r="AE526" s="50"/>
      <c r="AF526" s="50"/>
      <c r="AG526" s="50"/>
      <c r="AH526" s="50"/>
      <c r="AI526" s="50"/>
      <c r="AJ526" s="50"/>
    </row>
    <row r="527" spans="1:36" ht="15" customHeight="1" x14ac:dyDescent="0.25">
      <c r="A527" s="50">
        <v>106</v>
      </c>
      <c r="B527" s="50" t="s">
        <v>925</v>
      </c>
      <c r="C527" s="50" t="s">
        <v>1352</v>
      </c>
      <c r="D527" s="50">
        <v>38</v>
      </c>
      <c r="E527" s="50" t="s">
        <v>1355</v>
      </c>
      <c r="F527" s="50">
        <v>0</v>
      </c>
      <c r="G527" s="50">
        <v>7.1</v>
      </c>
      <c r="H527" s="50">
        <v>60</v>
      </c>
      <c r="I527" s="50">
        <v>3.86</v>
      </c>
      <c r="J527" s="50">
        <v>103</v>
      </c>
      <c r="K527" s="50">
        <v>100</v>
      </c>
      <c r="L527" s="50">
        <v>7.29</v>
      </c>
      <c r="M527" s="50">
        <v>6.36</v>
      </c>
      <c r="N527" s="50">
        <v>45</v>
      </c>
      <c r="O527" s="50">
        <v>13.5</v>
      </c>
      <c r="P527" s="50">
        <v>10.9</v>
      </c>
      <c r="Q527" s="50">
        <v>34.5</v>
      </c>
      <c r="R527" s="50">
        <v>43.4</v>
      </c>
      <c r="S527" s="50">
        <v>18.7</v>
      </c>
      <c r="T527" s="50">
        <v>38</v>
      </c>
      <c r="U527" s="50">
        <v>16.239999999999998</v>
      </c>
      <c r="V527" s="50">
        <v>61.3</v>
      </c>
      <c r="W527" s="50">
        <v>42</v>
      </c>
      <c r="X527" s="50">
        <v>380</v>
      </c>
      <c r="Y527" s="50">
        <v>10.16</v>
      </c>
      <c r="Z527" s="50">
        <v>19.3</v>
      </c>
      <c r="AA527" s="50">
        <v>5.35</v>
      </c>
      <c r="AB527" s="50"/>
      <c r="AC527" s="50"/>
      <c r="AD527" s="50"/>
      <c r="AE527" s="50"/>
      <c r="AF527" s="50"/>
      <c r="AG527" s="50"/>
      <c r="AH527" s="50"/>
      <c r="AI527" s="50"/>
      <c r="AJ527" s="50"/>
    </row>
    <row r="528" spans="1:36" ht="15" customHeight="1" x14ac:dyDescent="0.25">
      <c r="A528" s="50">
        <v>106</v>
      </c>
      <c r="B528" s="50" t="s">
        <v>925</v>
      </c>
      <c r="C528" s="50" t="s">
        <v>1352</v>
      </c>
      <c r="D528" s="50">
        <v>38</v>
      </c>
      <c r="E528" s="50" t="s">
        <v>1355</v>
      </c>
      <c r="F528" s="50">
        <v>4</v>
      </c>
      <c r="G528" s="50">
        <v>6.2</v>
      </c>
      <c r="H528" s="50">
        <v>54</v>
      </c>
      <c r="I528" s="50">
        <v>3.56</v>
      </c>
      <c r="J528" s="50">
        <v>110</v>
      </c>
      <c r="K528" s="50">
        <v>91</v>
      </c>
      <c r="L528" s="50">
        <v>6.47</v>
      </c>
      <c r="M528" s="50">
        <v>6.06</v>
      </c>
      <c r="N528" s="50">
        <v>40</v>
      </c>
      <c r="O528" s="50">
        <v>12.8</v>
      </c>
      <c r="P528" s="50">
        <v>11.5</v>
      </c>
      <c r="Q528" s="50">
        <v>32.299999999999997</v>
      </c>
      <c r="R528" s="50">
        <v>44.6</v>
      </c>
      <c r="S528" s="50">
        <v>20.7</v>
      </c>
      <c r="T528" s="50">
        <v>45</v>
      </c>
      <c r="U528" s="50">
        <v>13.71</v>
      </c>
      <c r="V528" s="50">
        <v>63.5</v>
      </c>
      <c r="W528" s="50">
        <v>51</v>
      </c>
      <c r="X528" s="50">
        <v>396</v>
      </c>
      <c r="Y528" s="50">
        <v>10.25</v>
      </c>
      <c r="Z528" s="50">
        <v>21.5</v>
      </c>
      <c r="AA528" s="50">
        <v>5.66</v>
      </c>
      <c r="AB528" s="50"/>
      <c r="AC528" s="50"/>
      <c r="AD528" s="50"/>
      <c r="AE528" s="50"/>
      <c r="AF528" s="50"/>
      <c r="AG528" s="50"/>
      <c r="AH528" s="50"/>
      <c r="AI528" s="50"/>
      <c r="AJ528" s="50"/>
    </row>
    <row r="529" spans="1:36" ht="15" customHeight="1" x14ac:dyDescent="0.25">
      <c r="A529" s="50">
        <v>106</v>
      </c>
      <c r="B529" s="50" t="s">
        <v>925</v>
      </c>
      <c r="C529" s="50" t="s">
        <v>1352</v>
      </c>
      <c r="D529" s="50">
        <v>38</v>
      </c>
      <c r="E529" s="50" t="s">
        <v>1355</v>
      </c>
      <c r="F529" s="50">
        <v>8</v>
      </c>
      <c r="G529" s="50">
        <v>5.3</v>
      </c>
      <c r="H529" s="50">
        <v>51</v>
      </c>
      <c r="I529" s="50">
        <v>3.15</v>
      </c>
      <c r="J529" s="50">
        <v>113</v>
      </c>
      <c r="K529" s="50">
        <v>83</v>
      </c>
      <c r="L529" s="50">
        <v>5.45</v>
      </c>
      <c r="M529" s="50">
        <v>5.23</v>
      </c>
      <c r="N529" s="50">
        <v>38</v>
      </c>
      <c r="O529" s="50">
        <v>11.2</v>
      </c>
      <c r="P529" s="50">
        <v>9.8000000000000007</v>
      </c>
      <c r="Q529" s="50">
        <v>31</v>
      </c>
      <c r="R529" s="50">
        <v>48.6</v>
      </c>
      <c r="S529" s="50">
        <v>21.8</v>
      </c>
      <c r="T529" s="50">
        <v>51</v>
      </c>
      <c r="U529" s="50">
        <v>12.75</v>
      </c>
      <c r="V529" s="50">
        <v>66.5</v>
      </c>
      <c r="W529" s="50">
        <v>53</v>
      </c>
      <c r="X529" s="50">
        <v>418</v>
      </c>
      <c r="Y529" s="50">
        <v>9.6999999999999993</v>
      </c>
      <c r="Z529" s="50">
        <v>24.6</v>
      </c>
      <c r="AA529" s="50">
        <v>5.59</v>
      </c>
      <c r="AB529" s="50"/>
      <c r="AC529" s="50"/>
      <c r="AD529" s="50"/>
      <c r="AE529" s="50"/>
      <c r="AF529" s="50"/>
      <c r="AG529" s="50"/>
      <c r="AH529" s="50"/>
      <c r="AI529" s="50"/>
      <c r="AJ529" s="50"/>
    </row>
    <row r="530" spans="1:36" ht="15" customHeight="1" x14ac:dyDescent="0.25">
      <c r="A530" s="50">
        <v>106</v>
      </c>
      <c r="B530" s="50" t="s">
        <v>925</v>
      </c>
      <c r="C530" s="50" t="s">
        <v>1352</v>
      </c>
      <c r="D530" s="50">
        <v>38</v>
      </c>
      <c r="E530" s="50" t="s">
        <v>1355</v>
      </c>
      <c r="F530" s="50">
        <v>12</v>
      </c>
      <c r="G530" s="50">
        <v>5</v>
      </c>
      <c r="H530" s="50">
        <v>47</v>
      </c>
      <c r="I530" s="50">
        <v>2.84</v>
      </c>
      <c r="J530" s="50">
        <v>120</v>
      </c>
      <c r="K530" s="50">
        <v>74</v>
      </c>
      <c r="L530" s="50">
        <v>5.01</v>
      </c>
      <c r="M530" s="50">
        <v>5.25</v>
      </c>
      <c r="N530" s="50">
        <v>33</v>
      </c>
      <c r="O530" s="50">
        <v>12.7</v>
      </c>
      <c r="P530" s="50">
        <v>10.7</v>
      </c>
      <c r="Q530" s="50">
        <v>30.9</v>
      </c>
      <c r="R530" s="50">
        <v>52.1</v>
      </c>
      <c r="S530" s="50">
        <v>24.9</v>
      </c>
      <c r="T530" s="50">
        <v>54</v>
      </c>
      <c r="U530" s="50">
        <v>10.85</v>
      </c>
      <c r="V530" s="50">
        <v>66.5</v>
      </c>
      <c r="W530" s="50">
        <v>61</v>
      </c>
      <c r="X530" s="50">
        <v>422</v>
      </c>
      <c r="Y530" s="50">
        <v>9.07</v>
      </c>
      <c r="Z530" s="50">
        <v>26.7</v>
      </c>
      <c r="AA530" s="50">
        <v>6.06</v>
      </c>
      <c r="AB530" s="50"/>
      <c r="AC530" s="50"/>
      <c r="AD530" s="50"/>
      <c r="AE530" s="50"/>
      <c r="AF530" s="50"/>
      <c r="AG530" s="50"/>
      <c r="AH530" s="50"/>
      <c r="AI530" s="50"/>
      <c r="AJ530" s="50"/>
    </row>
    <row r="531" spans="1:36" ht="15" customHeight="1" x14ac:dyDescent="0.25">
      <c r="A531" s="50">
        <v>106</v>
      </c>
      <c r="B531" s="50" t="s">
        <v>925</v>
      </c>
      <c r="C531" s="50" t="s">
        <v>1352</v>
      </c>
      <c r="D531" s="50">
        <v>38</v>
      </c>
      <c r="E531" s="50" t="s">
        <v>1355</v>
      </c>
      <c r="F531" s="50">
        <v>21</v>
      </c>
      <c r="G531" s="50">
        <v>3.1</v>
      </c>
      <c r="H531" s="50">
        <v>39</v>
      </c>
      <c r="I531" s="50">
        <v>1.99</v>
      </c>
      <c r="J531" s="50">
        <v>129</v>
      </c>
      <c r="K531" s="50">
        <v>55</v>
      </c>
      <c r="L531" s="50">
        <v>3.17</v>
      </c>
      <c r="M531" s="50">
        <v>3.67</v>
      </c>
      <c r="N531" s="50">
        <v>26</v>
      </c>
      <c r="O531" s="50">
        <v>9.9</v>
      </c>
      <c r="P531" s="50">
        <v>9.4</v>
      </c>
      <c r="Q531" s="50">
        <v>25.9</v>
      </c>
      <c r="R531" s="50">
        <v>53.1</v>
      </c>
      <c r="S531" s="50">
        <v>28.2</v>
      </c>
      <c r="T531" s="50">
        <v>69</v>
      </c>
      <c r="U531" s="50">
        <v>9.25</v>
      </c>
      <c r="V531" s="50">
        <v>72.3</v>
      </c>
      <c r="W531" s="50">
        <v>74</v>
      </c>
      <c r="X531" s="50">
        <v>455</v>
      </c>
      <c r="Y531" s="50">
        <v>8.89</v>
      </c>
      <c r="Z531" s="50">
        <v>30.7</v>
      </c>
      <c r="AA531" s="50">
        <v>6.5</v>
      </c>
      <c r="AB531" s="50"/>
      <c r="AC531" s="50"/>
      <c r="AD531" s="50"/>
      <c r="AE531" s="50"/>
      <c r="AF531" s="50"/>
      <c r="AG531" s="50"/>
      <c r="AH531" s="50"/>
      <c r="AI531" s="50"/>
      <c r="AJ531" s="50"/>
    </row>
    <row r="532" spans="1:36" ht="15" customHeight="1" x14ac:dyDescent="0.25">
      <c r="A532" s="50">
        <v>107</v>
      </c>
      <c r="B532" s="50" t="s">
        <v>925</v>
      </c>
      <c r="C532" s="50" t="s">
        <v>1357</v>
      </c>
      <c r="D532" s="50">
        <v>47</v>
      </c>
      <c r="E532" s="50" t="s">
        <v>1353</v>
      </c>
      <c r="F532" s="50">
        <v>0</v>
      </c>
      <c r="G532" s="50">
        <v>6.8</v>
      </c>
      <c r="H532" s="50">
        <v>42</v>
      </c>
      <c r="I532" s="50">
        <v>3.19</v>
      </c>
      <c r="J532" s="50">
        <v>107</v>
      </c>
      <c r="K532" s="50">
        <v>100</v>
      </c>
      <c r="L532" s="50">
        <v>7.22</v>
      </c>
      <c r="M532" s="50">
        <v>6.58</v>
      </c>
      <c r="N532" s="50">
        <v>44</v>
      </c>
      <c r="O532" s="50">
        <v>12.3</v>
      </c>
      <c r="P532" s="50">
        <v>11.6</v>
      </c>
      <c r="Q532" s="50">
        <v>39.6</v>
      </c>
      <c r="R532" s="50">
        <v>42.3</v>
      </c>
      <c r="S532" s="50">
        <v>19.8</v>
      </c>
      <c r="T532" s="50">
        <v>32</v>
      </c>
      <c r="U532" s="50">
        <v>9.83</v>
      </c>
      <c r="V532" s="50">
        <v>59.8</v>
      </c>
      <c r="W532" s="50">
        <v>44</v>
      </c>
      <c r="X532" s="50">
        <v>240</v>
      </c>
      <c r="Y532" s="50">
        <v>18.43</v>
      </c>
      <c r="Z532" s="50">
        <v>30.3</v>
      </c>
      <c r="AA532" s="50">
        <v>5.04</v>
      </c>
      <c r="AB532" s="50"/>
      <c r="AC532" s="50"/>
      <c r="AD532" s="50"/>
      <c r="AE532" s="50"/>
      <c r="AF532" s="50"/>
      <c r="AG532" s="50"/>
      <c r="AH532" s="50"/>
      <c r="AI532" s="50"/>
      <c r="AJ532" s="50"/>
    </row>
    <row r="533" spans="1:36" ht="15" customHeight="1" x14ac:dyDescent="0.25">
      <c r="A533" s="50">
        <v>107</v>
      </c>
      <c r="B533" s="50" t="s">
        <v>925</v>
      </c>
      <c r="C533" s="50" t="s">
        <v>1357</v>
      </c>
      <c r="D533" s="50">
        <v>47</v>
      </c>
      <c r="E533" s="50" t="s">
        <v>1353</v>
      </c>
      <c r="F533" s="50">
        <v>4</v>
      </c>
      <c r="G533" s="50">
        <v>5.9</v>
      </c>
      <c r="H533" s="50">
        <v>37</v>
      </c>
      <c r="I533" s="50">
        <v>2.79</v>
      </c>
      <c r="J533" s="50">
        <v>116</v>
      </c>
      <c r="K533" s="50">
        <v>91</v>
      </c>
      <c r="L533" s="50">
        <v>6.37</v>
      </c>
      <c r="M533" s="50">
        <v>5.75</v>
      </c>
      <c r="N533" s="50">
        <v>40</v>
      </c>
      <c r="O533" s="50">
        <v>11.3</v>
      </c>
      <c r="P533" s="50">
        <v>10.8</v>
      </c>
      <c r="Q533" s="50">
        <v>38.200000000000003</v>
      </c>
      <c r="R533" s="50">
        <v>47</v>
      </c>
      <c r="S533" s="50">
        <v>23.1</v>
      </c>
      <c r="T533" s="50">
        <v>40</v>
      </c>
      <c r="U533" s="50">
        <v>9.33</v>
      </c>
      <c r="V533" s="50">
        <v>63.4</v>
      </c>
      <c r="W533" s="50">
        <v>47</v>
      </c>
      <c r="X533" s="50">
        <v>280</v>
      </c>
      <c r="Y533" s="50">
        <v>17.2</v>
      </c>
      <c r="Z533" s="50">
        <v>31.6</v>
      </c>
      <c r="AA533" s="50">
        <v>5.31</v>
      </c>
      <c r="AB533" s="50"/>
      <c r="AC533" s="50"/>
      <c r="AD533" s="50"/>
      <c r="AE533" s="50"/>
      <c r="AF533" s="50"/>
      <c r="AG533" s="50"/>
      <c r="AH533" s="50"/>
      <c r="AI533" s="50"/>
      <c r="AJ533" s="50"/>
    </row>
    <row r="534" spans="1:36" ht="15" customHeight="1" x14ac:dyDescent="0.25">
      <c r="A534" s="50">
        <v>107</v>
      </c>
      <c r="B534" s="50" t="s">
        <v>925</v>
      </c>
      <c r="C534" s="50" t="s">
        <v>1357</v>
      </c>
      <c r="D534" s="50">
        <v>47</v>
      </c>
      <c r="E534" s="50" t="s">
        <v>1353</v>
      </c>
      <c r="F534" s="50">
        <v>8</v>
      </c>
      <c r="G534" s="50">
        <v>5</v>
      </c>
      <c r="H534" s="50">
        <v>34</v>
      </c>
      <c r="I534" s="50">
        <v>2.62</v>
      </c>
      <c r="J534" s="50">
        <v>120</v>
      </c>
      <c r="K534" s="50">
        <v>83</v>
      </c>
      <c r="L534" s="50">
        <v>5.17</v>
      </c>
      <c r="M534" s="50">
        <v>4.5199999999999996</v>
      </c>
      <c r="N534" s="50">
        <v>37</v>
      </c>
      <c r="O534" s="50">
        <v>11.4</v>
      </c>
      <c r="P534" s="50">
        <v>9.5</v>
      </c>
      <c r="Q534" s="50">
        <v>33.6</v>
      </c>
      <c r="R534" s="50">
        <v>52.4</v>
      </c>
      <c r="S534" s="50">
        <v>25.3</v>
      </c>
      <c r="T534" s="50">
        <v>42</v>
      </c>
      <c r="U534" s="50">
        <v>8.6999999999999993</v>
      </c>
      <c r="V534" s="50">
        <v>64.900000000000006</v>
      </c>
      <c r="W534" s="50">
        <v>46</v>
      </c>
      <c r="X534" s="50">
        <v>317</v>
      </c>
      <c r="Y534" s="50">
        <v>15.46</v>
      </c>
      <c r="Z534" s="50">
        <v>36</v>
      </c>
      <c r="AA534" s="50">
        <v>5.42</v>
      </c>
      <c r="AB534" s="50"/>
      <c r="AC534" s="50"/>
      <c r="AD534" s="50"/>
      <c r="AE534" s="50"/>
      <c r="AF534" s="50"/>
      <c r="AG534" s="50"/>
      <c r="AH534" s="50"/>
      <c r="AI534" s="50"/>
      <c r="AJ534" s="50"/>
    </row>
    <row r="535" spans="1:36" ht="15" customHeight="1" x14ac:dyDescent="0.25">
      <c r="A535" s="50">
        <v>107</v>
      </c>
      <c r="B535" s="50" t="s">
        <v>925</v>
      </c>
      <c r="C535" s="50" t="s">
        <v>1357</v>
      </c>
      <c r="D535" s="50">
        <v>47</v>
      </c>
      <c r="E535" s="50" t="s">
        <v>1353</v>
      </c>
      <c r="F535" s="50">
        <v>12</v>
      </c>
      <c r="G535" s="50">
        <v>4.5</v>
      </c>
      <c r="H535" s="50">
        <v>30</v>
      </c>
      <c r="I535" s="50">
        <v>2.27</v>
      </c>
      <c r="J535" s="50">
        <v>121</v>
      </c>
      <c r="K535" s="50">
        <v>74</v>
      </c>
      <c r="L535" s="50">
        <v>4.87</v>
      </c>
      <c r="M535" s="50">
        <v>4.25</v>
      </c>
      <c r="N535" s="50">
        <v>38</v>
      </c>
      <c r="O535" s="50">
        <v>10.7</v>
      </c>
      <c r="P535" s="50">
        <v>9.6</v>
      </c>
      <c r="Q535" s="50">
        <v>31.6</v>
      </c>
      <c r="R535" s="50">
        <v>49.5</v>
      </c>
      <c r="S535" s="50">
        <v>30.3</v>
      </c>
      <c r="T535" s="50">
        <v>51</v>
      </c>
      <c r="U535" s="50">
        <v>7.42</v>
      </c>
      <c r="V535" s="50">
        <v>68.7</v>
      </c>
      <c r="W535" s="50">
        <v>53</v>
      </c>
      <c r="X535" s="50">
        <v>360</v>
      </c>
      <c r="Y535" s="50">
        <v>14.46</v>
      </c>
      <c r="Z535" s="50">
        <v>34.4</v>
      </c>
      <c r="AA535" s="50">
        <v>5.97</v>
      </c>
      <c r="AB535" s="50"/>
      <c r="AC535" s="50"/>
      <c r="AD535" s="50"/>
      <c r="AE535" s="50"/>
      <c r="AF535" s="50"/>
      <c r="AG535" s="50"/>
      <c r="AH535" s="50"/>
      <c r="AI535" s="50"/>
      <c r="AJ535" s="50"/>
    </row>
    <row r="536" spans="1:36" ht="15" customHeight="1" x14ac:dyDescent="0.25">
      <c r="A536" s="50">
        <v>107</v>
      </c>
      <c r="B536" s="50" t="s">
        <v>925</v>
      </c>
      <c r="C536" s="50" t="s">
        <v>1357</v>
      </c>
      <c r="D536" s="50">
        <v>47</v>
      </c>
      <c r="E536" s="50" t="s">
        <v>1353</v>
      </c>
      <c r="F536" s="50">
        <v>21</v>
      </c>
      <c r="G536" s="50">
        <v>2.8</v>
      </c>
      <c r="H536" s="50">
        <v>24</v>
      </c>
      <c r="I536" s="50">
        <v>1.49</v>
      </c>
      <c r="J536" s="50">
        <v>132</v>
      </c>
      <c r="K536" s="50">
        <v>55</v>
      </c>
      <c r="L536" s="50">
        <v>3.07</v>
      </c>
      <c r="M536" s="50">
        <v>3.06</v>
      </c>
      <c r="N536" s="50">
        <v>31</v>
      </c>
      <c r="O536" s="50">
        <v>8.1</v>
      </c>
      <c r="P536" s="50">
        <v>8</v>
      </c>
      <c r="Q536" s="50">
        <v>25.2</v>
      </c>
      <c r="R536" s="50">
        <v>55.1</v>
      </c>
      <c r="S536" s="50">
        <v>35.200000000000003</v>
      </c>
      <c r="T536" s="50">
        <v>64</v>
      </c>
      <c r="U536" s="50">
        <v>7.28</v>
      </c>
      <c r="V536" s="50">
        <v>69.599999999999994</v>
      </c>
      <c r="W536" s="50">
        <v>57</v>
      </c>
      <c r="X536" s="50">
        <v>449</v>
      </c>
      <c r="Y536" s="50">
        <v>13.09</v>
      </c>
      <c r="Z536" s="50">
        <v>41.4</v>
      </c>
      <c r="AA536" s="50">
        <v>6.31</v>
      </c>
      <c r="AB536" s="50"/>
      <c r="AC536" s="50"/>
      <c r="AD536" s="50"/>
      <c r="AE536" s="50"/>
      <c r="AF536" s="50"/>
      <c r="AG536" s="50"/>
      <c r="AH536" s="50"/>
      <c r="AI536" s="50"/>
      <c r="AJ536" s="50"/>
    </row>
    <row r="537" spans="1:36" ht="15" customHeight="1" x14ac:dyDescent="0.25">
      <c r="A537" s="50">
        <v>108</v>
      </c>
      <c r="B537" s="50" t="s">
        <v>925</v>
      </c>
      <c r="C537" s="50" t="s">
        <v>1352</v>
      </c>
      <c r="D537" s="50">
        <v>34</v>
      </c>
      <c r="E537" s="50" t="s">
        <v>1359</v>
      </c>
      <c r="F537" s="50">
        <v>0</v>
      </c>
      <c r="G537" s="50">
        <v>6.6</v>
      </c>
      <c r="H537" s="50">
        <v>43</v>
      </c>
      <c r="I537" s="50">
        <v>3.15</v>
      </c>
      <c r="J537" s="50">
        <v>81</v>
      </c>
      <c r="K537" s="50">
        <v>100</v>
      </c>
      <c r="L537" s="50">
        <v>7.32</v>
      </c>
      <c r="M537" s="50">
        <v>6.99</v>
      </c>
      <c r="N537" s="50">
        <v>38</v>
      </c>
      <c r="O537" s="50">
        <v>12.3</v>
      </c>
      <c r="P537" s="50">
        <v>7.6</v>
      </c>
      <c r="Q537" s="50">
        <v>43.5</v>
      </c>
      <c r="R537" s="50">
        <v>39.200000000000003</v>
      </c>
      <c r="S537" s="50">
        <v>16.8</v>
      </c>
      <c r="T537" s="50">
        <v>43</v>
      </c>
      <c r="U537" s="50">
        <v>7.36</v>
      </c>
      <c r="V537" s="50">
        <v>60.6</v>
      </c>
      <c r="W537" s="50">
        <v>50</v>
      </c>
      <c r="X537" s="50">
        <v>407</v>
      </c>
      <c r="Y537" s="50">
        <v>12.07</v>
      </c>
      <c r="Z537" s="50">
        <v>30.3</v>
      </c>
      <c r="AA537" s="50">
        <v>6.18</v>
      </c>
      <c r="AB537" s="50"/>
      <c r="AC537" s="50"/>
      <c r="AD537" s="50"/>
      <c r="AE537" s="50"/>
      <c r="AF537" s="50"/>
      <c r="AG537" s="50"/>
      <c r="AH537" s="50"/>
      <c r="AI537" s="50"/>
      <c r="AJ537" s="50"/>
    </row>
    <row r="538" spans="1:36" ht="15" customHeight="1" x14ac:dyDescent="0.25">
      <c r="A538" s="50">
        <v>108</v>
      </c>
      <c r="B538" s="50" t="s">
        <v>925</v>
      </c>
      <c r="C538" s="50" t="s">
        <v>1352</v>
      </c>
      <c r="D538" s="50">
        <v>34</v>
      </c>
      <c r="E538" s="50" t="s">
        <v>1359</v>
      </c>
      <c r="F538" s="50">
        <v>4</v>
      </c>
      <c r="G538" s="50">
        <v>5.9</v>
      </c>
      <c r="H538" s="50">
        <v>39</v>
      </c>
      <c r="I538" s="50">
        <v>2.83</v>
      </c>
      <c r="J538" s="50">
        <v>85</v>
      </c>
      <c r="K538" s="50">
        <v>91</v>
      </c>
      <c r="L538" s="50">
        <v>6.73</v>
      </c>
      <c r="M538" s="50">
        <v>6.36</v>
      </c>
      <c r="N538" s="50">
        <v>38</v>
      </c>
      <c r="O538" s="50">
        <v>12.1</v>
      </c>
      <c r="P538" s="50">
        <v>7.5</v>
      </c>
      <c r="Q538" s="50">
        <v>39.1</v>
      </c>
      <c r="R538" s="50">
        <v>43.4</v>
      </c>
      <c r="S538" s="50">
        <v>18.100000000000001</v>
      </c>
      <c r="T538" s="50">
        <v>44</v>
      </c>
      <c r="U538" s="50">
        <v>7.13</v>
      </c>
      <c r="V538" s="50">
        <v>62.1</v>
      </c>
      <c r="W538" s="50">
        <v>54</v>
      </c>
      <c r="X538" s="50">
        <v>427</v>
      </c>
      <c r="Y538" s="50">
        <v>11.3</v>
      </c>
      <c r="Z538" s="50">
        <v>30.7</v>
      </c>
      <c r="AA538" s="50">
        <v>6.43</v>
      </c>
      <c r="AB538" s="50"/>
      <c r="AC538" s="50"/>
      <c r="AD538" s="50"/>
      <c r="AE538" s="50"/>
      <c r="AF538" s="50"/>
      <c r="AG538" s="50"/>
      <c r="AH538" s="50"/>
      <c r="AI538" s="50"/>
      <c r="AJ538" s="50"/>
    </row>
    <row r="539" spans="1:36" ht="15" customHeight="1" x14ac:dyDescent="0.25">
      <c r="A539" s="50">
        <v>108</v>
      </c>
      <c r="B539" s="50" t="s">
        <v>925</v>
      </c>
      <c r="C539" s="50" t="s">
        <v>1352</v>
      </c>
      <c r="D539" s="50">
        <v>34</v>
      </c>
      <c r="E539" s="50" t="s">
        <v>1359</v>
      </c>
      <c r="F539" s="50">
        <v>8</v>
      </c>
      <c r="G539" s="50">
        <v>5.3</v>
      </c>
      <c r="H539" s="50">
        <v>34</v>
      </c>
      <c r="I539" s="50">
        <v>2.52</v>
      </c>
      <c r="J539" s="50">
        <v>92</v>
      </c>
      <c r="K539" s="50">
        <v>83</v>
      </c>
      <c r="L539" s="50">
        <v>6.14</v>
      </c>
      <c r="M539" s="50">
        <v>5.71</v>
      </c>
      <c r="N539" s="50">
        <v>33</v>
      </c>
      <c r="O539" s="50">
        <v>10.8</v>
      </c>
      <c r="P539" s="50">
        <v>7.5</v>
      </c>
      <c r="Q539" s="50">
        <v>39.5</v>
      </c>
      <c r="R539" s="50">
        <v>43.8</v>
      </c>
      <c r="S539" s="50">
        <v>21.7</v>
      </c>
      <c r="T539" s="50">
        <v>52</v>
      </c>
      <c r="U539" s="50">
        <v>6.79</v>
      </c>
      <c r="V539" s="50">
        <v>65.2</v>
      </c>
      <c r="W539" s="50">
        <v>52</v>
      </c>
      <c r="X539" s="50">
        <v>448</v>
      </c>
      <c r="Y539" s="50">
        <v>11.05</v>
      </c>
      <c r="Z539" s="50">
        <v>31.7</v>
      </c>
      <c r="AA539" s="50">
        <v>6.94</v>
      </c>
      <c r="AB539" s="50"/>
      <c r="AC539" s="50"/>
      <c r="AD539" s="50"/>
      <c r="AE539" s="50"/>
      <c r="AF539" s="50"/>
      <c r="AG539" s="50"/>
      <c r="AH539" s="50"/>
      <c r="AI539" s="50"/>
      <c r="AJ539" s="50"/>
    </row>
    <row r="540" spans="1:36" ht="15" customHeight="1" x14ac:dyDescent="0.25">
      <c r="A540" s="50">
        <v>108</v>
      </c>
      <c r="B540" s="50" t="s">
        <v>925</v>
      </c>
      <c r="C540" s="50" t="s">
        <v>1352</v>
      </c>
      <c r="D540" s="50">
        <v>34</v>
      </c>
      <c r="E540" s="50" t="s">
        <v>1359</v>
      </c>
      <c r="F540" s="50">
        <v>12</v>
      </c>
      <c r="G540" s="50">
        <v>4.5</v>
      </c>
      <c r="H540" s="50">
        <v>35</v>
      </c>
      <c r="I540" s="50">
        <v>2.2599999999999998</v>
      </c>
      <c r="J540" s="50">
        <v>94</v>
      </c>
      <c r="K540" s="50">
        <v>74</v>
      </c>
      <c r="L540" s="50">
        <v>5.73</v>
      </c>
      <c r="M540" s="50">
        <v>4.91</v>
      </c>
      <c r="N540" s="50">
        <v>32</v>
      </c>
      <c r="O540" s="50">
        <v>10.5</v>
      </c>
      <c r="P540" s="50">
        <v>5.8</v>
      </c>
      <c r="Q540" s="50">
        <v>35.200000000000003</v>
      </c>
      <c r="R540" s="50">
        <v>49.4</v>
      </c>
      <c r="S540" s="50">
        <v>23.1</v>
      </c>
      <c r="T540" s="50">
        <v>57</v>
      </c>
      <c r="U540" s="50">
        <v>5.46</v>
      </c>
      <c r="V540" s="50">
        <v>66.599999999999994</v>
      </c>
      <c r="W540" s="50">
        <v>56</v>
      </c>
      <c r="X540" s="50">
        <v>447</v>
      </c>
      <c r="Y540" s="50">
        <v>9.74</v>
      </c>
      <c r="Z540" s="50">
        <v>34.299999999999997</v>
      </c>
      <c r="AA540" s="50">
        <v>6.61</v>
      </c>
      <c r="AB540" s="50"/>
      <c r="AC540" s="50"/>
      <c r="AD540" s="50"/>
      <c r="AE540" s="50"/>
      <c r="AF540" s="50"/>
      <c r="AG540" s="50"/>
      <c r="AH540" s="50"/>
      <c r="AI540" s="50"/>
      <c r="AJ540" s="50"/>
    </row>
    <row r="541" spans="1:36" ht="15" customHeight="1" x14ac:dyDescent="0.25">
      <c r="A541" s="50">
        <v>108</v>
      </c>
      <c r="B541" s="50" t="s">
        <v>925</v>
      </c>
      <c r="C541" s="50" t="s">
        <v>1352</v>
      </c>
      <c r="D541" s="50">
        <v>34</v>
      </c>
      <c r="E541" s="50" t="s">
        <v>1359</v>
      </c>
      <c r="F541" s="50">
        <v>21</v>
      </c>
      <c r="G541" s="50">
        <v>2.8</v>
      </c>
      <c r="H541" s="50">
        <v>23</v>
      </c>
      <c r="I541" s="50">
        <v>1.59</v>
      </c>
      <c r="J541" s="50">
        <v>105</v>
      </c>
      <c r="K541" s="50">
        <v>55</v>
      </c>
      <c r="L541" s="50">
        <v>4.05</v>
      </c>
      <c r="M541" s="50">
        <v>2.94</v>
      </c>
      <c r="N541" s="50">
        <v>25</v>
      </c>
      <c r="O541" s="50">
        <v>9.3000000000000007</v>
      </c>
      <c r="P541" s="50">
        <v>6.4</v>
      </c>
      <c r="Q541" s="50">
        <v>23</v>
      </c>
      <c r="R541" s="50">
        <v>58.6</v>
      </c>
      <c r="S541" s="50">
        <v>30.9</v>
      </c>
      <c r="T541" s="50">
        <v>65</v>
      </c>
      <c r="U541" s="50">
        <v>5.2</v>
      </c>
      <c r="V541" s="50">
        <v>71.5</v>
      </c>
      <c r="W541" s="50">
        <v>61</v>
      </c>
      <c r="X541" s="50">
        <v>499</v>
      </c>
      <c r="Y541" s="50">
        <v>9.2899999999999991</v>
      </c>
      <c r="Z541" s="50">
        <v>39.9</v>
      </c>
      <c r="AA541" s="50">
        <v>6.89</v>
      </c>
      <c r="AB541" s="50"/>
      <c r="AC541" s="50"/>
      <c r="AD541" s="50"/>
      <c r="AE541" s="50"/>
      <c r="AF541" s="50"/>
      <c r="AG541" s="50"/>
      <c r="AH541" s="50"/>
      <c r="AI541" s="50"/>
      <c r="AJ541" s="50"/>
    </row>
    <row r="542" spans="1:36" ht="15" customHeight="1" x14ac:dyDescent="0.25">
      <c r="A542" s="50">
        <v>109</v>
      </c>
      <c r="B542" s="50" t="s">
        <v>925</v>
      </c>
      <c r="C542" s="50" t="s">
        <v>1352</v>
      </c>
      <c r="D542" s="50">
        <v>28</v>
      </c>
      <c r="E542" s="50" t="s">
        <v>1359</v>
      </c>
      <c r="F542" s="50">
        <v>0</v>
      </c>
      <c r="G542" s="50">
        <v>5.5</v>
      </c>
      <c r="H542" s="50">
        <v>51</v>
      </c>
      <c r="I542" s="50">
        <v>2.46</v>
      </c>
      <c r="J542" s="50">
        <v>104</v>
      </c>
      <c r="K542" s="50">
        <v>100</v>
      </c>
      <c r="L542" s="50">
        <v>6.45</v>
      </c>
      <c r="M542" s="50">
        <v>7.53</v>
      </c>
      <c r="N542" s="50">
        <v>49</v>
      </c>
      <c r="O542" s="50">
        <v>12.1</v>
      </c>
      <c r="P542" s="50">
        <v>13.4</v>
      </c>
      <c r="Q542" s="50">
        <v>34.6</v>
      </c>
      <c r="R542" s="50">
        <v>50.2</v>
      </c>
      <c r="S542" s="50">
        <v>14.6</v>
      </c>
      <c r="T542" s="50">
        <v>38</v>
      </c>
      <c r="U542" s="50">
        <v>9.15</v>
      </c>
      <c r="V542" s="50">
        <v>59.1</v>
      </c>
      <c r="W542" s="50">
        <v>32</v>
      </c>
      <c r="X542" s="50">
        <v>343</v>
      </c>
      <c r="Y542" s="50">
        <v>18.55</v>
      </c>
      <c r="Z542" s="50">
        <v>24.2</v>
      </c>
      <c r="AA542" s="50">
        <v>4.8499999999999996</v>
      </c>
      <c r="AB542" s="50"/>
      <c r="AC542" s="50"/>
      <c r="AD542" s="50"/>
      <c r="AE542" s="50"/>
      <c r="AF542" s="50"/>
      <c r="AG542" s="50"/>
      <c r="AH542" s="50"/>
      <c r="AI542" s="50"/>
      <c r="AJ542" s="50"/>
    </row>
    <row r="543" spans="1:36" ht="15" customHeight="1" x14ac:dyDescent="0.25">
      <c r="A543" s="50">
        <v>109</v>
      </c>
      <c r="B543" s="50" t="s">
        <v>925</v>
      </c>
      <c r="C543" s="50" t="s">
        <v>1352</v>
      </c>
      <c r="D543" s="50">
        <v>28</v>
      </c>
      <c r="E543" s="50" t="s">
        <v>1359</v>
      </c>
      <c r="F543" s="50">
        <v>4</v>
      </c>
      <c r="G543" s="50">
        <v>5</v>
      </c>
      <c r="H543" s="50">
        <v>49</v>
      </c>
      <c r="I543" s="50">
        <v>2.2799999999999998</v>
      </c>
      <c r="J543" s="50">
        <v>103</v>
      </c>
      <c r="K543" s="50">
        <v>91</v>
      </c>
      <c r="L543" s="50">
        <v>5.94</v>
      </c>
      <c r="M543" s="50">
        <v>6.84</v>
      </c>
      <c r="N543" s="50">
        <v>47</v>
      </c>
      <c r="O543" s="50">
        <v>11.7</v>
      </c>
      <c r="P543" s="50">
        <v>12.6</v>
      </c>
      <c r="Q543" s="50">
        <v>30.6</v>
      </c>
      <c r="R543" s="50">
        <v>52.1</v>
      </c>
      <c r="S543" s="50">
        <v>19.7</v>
      </c>
      <c r="T543" s="50">
        <v>40</v>
      </c>
      <c r="U543" s="50">
        <v>7.45</v>
      </c>
      <c r="V543" s="50">
        <v>60.1</v>
      </c>
      <c r="W543" s="50">
        <v>40</v>
      </c>
      <c r="X543" s="50">
        <v>380</v>
      </c>
      <c r="Y543" s="50">
        <v>17.649999999999999</v>
      </c>
      <c r="Z543" s="50">
        <v>27.3</v>
      </c>
      <c r="AA543" s="50">
        <v>5.21</v>
      </c>
      <c r="AB543" s="50"/>
      <c r="AC543" s="50"/>
      <c r="AD543" s="50"/>
      <c r="AE543" s="50"/>
      <c r="AF543" s="50"/>
      <c r="AG543" s="50"/>
      <c r="AH543" s="50"/>
      <c r="AI543" s="50"/>
      <c r="AJ543" s="50"/>
    </row>
    <row r="544" spans="1:36" ht="15" customHeight="1" x14ac:dyDescent="0.25">
      <c r="A544" s="50">
        <v>109</v>
      </c>
      <c r="B544" s="50" t="s">
        <v>925</v>
      </c>
      <c r="C544" s="50" t="s">
        <v>1352</v>
      </c>
      <c r="D544" s="50">
        <v>28</v>
      </c>
      <c r="E544" s="50" t="s">
        <v>1359</v>
      </c>
      <c r="F544" s="50">
        <v>8</v>
      </c>
      <c r="G544" s="50">
        <v>4.5</v>
      </c>
      <c r="H544" s="50">
        <v>44</v>
      </c>
      <c r="I544" s="50">
        <v>2.0299999999999998</v>
      </c>
      <c r="J544" s="50">
        <v>108</v>
      </c>
      <c r="K544" s="50">
        <v>83</v>
      </c>
      <c r="L544" s="50">
        <v>5.36</v>
      </c>
      <c r="M544" s="50">
        <v>5.97</v>
      </c>
      <c r="N544" s="50">
        <v>43</v>
      </c>
      <c r="O544" s="50">
        <v>10.199999999999999</v>
      </c>
      <c r="P544" s="50">
        <v>11.7</v>
      </c>
      <c r="Q544" s="50">
        <v>29.7</v>
      </c>
      <c r="R544" s="50">
        <v>54.4</v>
      </c>
      <c r="S544" s="50">
        <v>21</v>
      </c>
      <c r="T544" s="50">
        <v>43</v>
      </c>
      <c r="U544" s="50">
        <v>7.19</v>
      </c>
      <c r="V544" s="50">
        <v>60.2</v>
      </c>
      <c r="W544" s="50">
        <v>42</v>
      </c>
      <c r="X544" s="50">
        <v>420</v>
      </c>
      <c r="Y544" s="50">
        <v>16.93</v>
      </c>
      <c r="Z544" s="50">
        <v>30.1</v>
      </c>
      <c r="AA544" s="50">
        <v>5.25</v>
      </c>
      <c r="AB544" s="50"/>
      <c r="AC544" s="50"/>
      <c r="AD544" s="50"/>
      <c r="AE544" s="50"/>
      <c r="AF544" s="50"/>
      <c r="AG544" s="50"/>
      <c r="AH544" s="50"/>
      <c r="AI544" s="50"/>
      <c r="AJ544" s="50"/>
    </row>
    <row r="545" spans="1:36" ht="15" customHeight="1" x14ac:dyDescent="0.25">
      <c r="A545" s="50">
        <v>109</v>
      </c>
      <c r="B545" s="50" t="s">
        <v>925</v>
      </c>
      <c r="C545" s="50" t="s">
        <v>1352</v>
      </c>
      <c r="D545" s="50">
        <v>28</v>
      </c>
      <c r="E545" s="50" t="s">
        <v>1359</v>
      </c>
      <c r="F545" s="50">
        <v>12</v>
      </c>
      <c r="G545" s="50">
        <v>4.0999999999999996</v>
      </c>
      <c r="H545" s="50">
        <v>42</v>
      </c>
      <c r="I545" s="50">
        <v>1.79</v>
      </c>
      <c r="J545" s="50">
        <v>118</v>
      </c>
      <c r="K545" s="50">
        <v>74</v>
      </c>
      <c r="L545" s="50">
        <v>4.4400000000000004</v>
      </c>
      <c r="M545" s="50">
        <v>5.49</v>
      </c>
      <c r="N545" s="50">
        <v>39</v>
      </c>
      <c r="O545" s="50">
        <v>9</v>
      </c>
      <c r="P545" s="50">
        <v>10.6</v>
      </c>
      <c r="Q545" s="50">
        <v>31.4</v>
      </c>
      <c r="R545" s="50">
        <v>54.2</v>
      </c>
      <c r="S545" s="50">
        <v>25.9</v>
      </c>
      <c r="T545" s="50">
        <v>47</v>
      </c>
      <c r="U545" s="50">
        <v>7.01</v>
      </c>
      <c r="V545" s="50">
        <v>62.3</v>
      </c>
      <c r="W545" s="50">
        <v>50</v>
      </c>
      <c r="X545" s="50">
        <v>428</v>
      </c>
      <c r="Y545" s="50">
        <v>16.23</v>
      </c>
      <c r="Z545" s="50">
        <v>32.1</v>
      </c>
      <c r="AA545" s="50">
        <v>5.86</v>
      </c>
      <c r="AB545" s="50"/>
      <c r="AC545" s="50"/>
      <c r="AD545" s="50"/>
      <c r="AE545" s="50"/>
      <c r="AF545" s="50"/>
      <c r="AG545" s="50"/>
      <c r="AH545" s="50"/>
      <c r="AI545" s="50"/>
      <c r="AJ545" s="50"/>
    </row>
    <row r="546" spans="1:36" ht="15" customHeight="1" x14ac:dyDescent="0.25">
      <c r="A546" s="50">
        <v>109</v>
      </c>
      <c r="B546" s="50" t="s">
        <v>925</v>
      </c>
      <c r="C546" s="50" t="s">
        <v>1352</v>
      </c>
      <c r="D546" s="50">
        <v>28</v>
      </c>
      <c r="E546" s="50" t="s">
        <v>1359</v>
      </c>
      <c r="F546" s="50">
        <v>21</v>
      </c>
      <c r="G546" s="50">
        <v>2.4</v>
      </c>
      <c r="H546" s="50">
        <v>34</v>
      </c>
      <c r="I546" s="50">
        <v>1.27</v>
      </c>
      <c r="J546" s="50">
        <v>126</v>
      </c>
      <c r="K546" s="50">
        <v>55</v>
      </c>
      <c r="L546" s="50">
        <v>2.48</v>
      </c>
      <c r="M546" s="50">
        <v>2.84</v>
      </c>
      <c r="N546" s="50">
        <v>32</v>
      </c>
      <c r="O546" s="50">
        <v>6.2</v>
      </c>
      <c r="P546" s="50">
        <v>7.7</v>
      </c>
      <c r="Q546" s="50">
        <v>26.5</v>
      </c>
      <c r="R546" s="50">
        <v>65</v>
      </c>
      <c r="S546" s="50">
        <v>37.6</v>
      </c>
      <c r="T546" s="50">
        <v>64</v>
      </c>
      <c r="U546" s="50">
        <v>6.21</v>
      </c>
      <c r="V546" s="50">
        <v>67.900000000000006</v>
      </c>
      <c r="W546" s="50">
        <v>65</v>
      </c>
      <c r="X546" s="50">
        <v>496</v>
      </c>
      <c r="Y546" s="50">
        <v>12.12</v>
      </c>
      <c r="Z546" s="50">
        <v>38.4</v>
      </c>
      <c r="AA546" s="50">
        <v>6.75</v>
      </c>
      <c r="AB546" s="50"/>
      <c r="AC546" s="50"/>
      <c r="AD546" s="50"/>
      <c r="AE546" s="50"/>
      <c r="AF546" s="50"/>
      <c r="AG546" s="50"/>
      <c r="AH546" s="50"/>
      <c r="AI546" s="50"/>
      <c r="AJ546" s="50"/>
    </row>
    <row r="547" spans="1:36" ht="15" customHeight="1" x14ac:dyDescent="0.25">
      <c r="A547" s="50">
        <v>110</v>
      </c>
      <c r="B547" s="50" t="s">
        <v>925</v>
      </c>
      <c r="C547" s="50" t="s">
        <v>1357</v>
      </c>
      <c r="D547" s="50">
        <v>38</v>
      </c>
      <c r="E547" s="50" t="s">
        <v>1359</v>
      </c>
      <c r="F547" s="50">
        <v>0</v>
      </c>
      <c r="G547" s="50">
        <v>6.4</v>
      </c>
      <c r="H547" s="50">
        <v>48</v>
      </c>
      <c r="I547" s="50">
        <v>2.87</v>
      </c>
      <c r="J547" s="50">
        <v>100</v>
      </c>
      <c r="K547" s="50">
        <v>100</v>
      </c>
      <c r="L547" s="50">
        <v>7.18</v>
      </c>
      <c r="M547" s="50">
        <v>6.17</v>
      </c>
      <c r="N547" s="50">
        <v>48</v>
      </c>
      <c r="O547" s="50">
        <v>14.7</v>
      </c>
      <c r="P547" s="50">
        <v>10.5</v>
      </c>
      <c r="Q547" s="50">
        <v>38.6</v>
      </c>
      <c r="R547" s="50">
        <v>32</v>
      </c>
      <c r="S547" s="50">
        <v>14</v>
      </c>
      <c r="T547" s="50">
        <v>51</v>
      </c>
      <c r="U547" s="50">
        <v>12.68</v>
      </c>
      <c r="V547" s="50">
        <v>52.2</v>
      </c>
      <c r="W547" s="50">
        <v>53</v>
      </c>
      <c r="X547" s="50">
        <v>339</v>
      </c>
      <c r="Y547" s="50">
        <v>17.059999999999999</v>
      </c>
      <c r="Z547" s="50">
        <v>26.8</v>
      </c>
      <c r="AA547" s="50">
        <v>3.92</v>
      </c>
      <c r="AB547" s="50"/>
      <c r="AC547" s="50"/>
      <c r="AD547" s="50"/>
      <c r="AE547" s="50"/>
      <c r="AF547" s="50"/>
      <c r="AG547" s="50"/>
      <c r="AH547" s="50"/>
      <c r="AI547" s="50"/>
      <c r="AJ547" s="50"/>
    </row>
    <row r="548" spans="1:36" ht="15" customHeight="1" x14ac:dyDescent="0.25">
      <c r="A548" s="50">
        <v>110</v>
      </c>
      <c r="B548" s="50" t="s">
        <v>925</v>
      </c>
      <c r="C548" s="50" t="s">
        <v>1357</v>
      </c>
      <c r="D548" s="50">
        <v>38</v>
      </c>
      <c r="E548" s="50" t="s">
        <v>1359</v>
      </c>
      <c r="F548" s="50">
        <v>4</v>
      </c>
      <c r="G548" s="50">
        <v>5.8</v>
      </c>
      <c r="H548" s="50">
        <v>45</v>
      </c>
      <c r="I548" s="50">
        <v>2.59</v>
      </c>
      <c r="J548" s="50">
        <v>107</v>
      </c>
      <c r="K548" s="50">
        <v>91</v>
      </c>
      <c r="L548" s="50">
        <v>6.46</v>
      </c>
      <c r="M548" s="50">
        <v>5.56</v>
      </c>
      <c r="N548" s="50">
        <v>48</v>
      </c>
      <c r="O548" s="50">
        <v>13.3</v>
      </c>
      <c r="P548" s="50">
        <v>10</v>
      </c>
      <c r="Q548" s="50">
        <v>37.5</v>
      </c>
      <c r="R548" s="50">
        <v>35.5</v>
      </c>
      <c r="S548" s="50">
        <v>18.399999999999999</v>
      </c>
      <c r="T548" s="50">
        <v>51</v>
      </c>
      <c r="U548" s="50">
        <v>12.18</v>
      </c>
      <c r="V548" s="50">
        <v>52</v>
      </c>
      <c r="W548" s="50">
        <v>58</v>
      </c>
      <c r="X548" s="50">
        <v>353</v>
      </c>
      <c r="Y548" s="50">
        <v>16.27</v>
      </c>
      <c r="Z548" s="50">
        <v>28.3</v>
      </c>
      <c r="AA548" s="50">
        <v>4.01</v>
      </c>
      <c r="AB548" s="50"/>
      <c r="AC548" s="50"/>
      <c r="AD548" s="50"/>
      <c r="AE548" s="50"/>
      <c r="AF548" s="50"/>
      <c r="AG548" s="50"/>
      <c r="AH548" s="50"/>
      <c r="AI548" s="50"/>
      <c r="AJ548" s="50"/>
    </row>
    <row r="549" spans="1:36" ht="15" customHeight="1" x14ac:dyDescent="0.25">
      <c r="A549" s="50">
        <v>110</v>
      </c>
      <c r="B549" s="50" t="s">
        <v>925</v>
      </c>
      <c r="C549" s="50" t="s">
        <v>1357</v>
      </c>
      <c r="D549" s="50">
        <v>38</v>
      </c>
      <c r="E549" s="50" t="s">
        <v>1359</v>
      </c>
      <c r="F549" s="50">
        <v>8</v>
      </c>
      <c r="G549" s="50">
        <v>5</v>
      </c>
      <c r="H549" s="50">
        <v>41</v>
      </c>
      <c r="I549" s="50">
        <v>2.29</v>
      </c>
      <c r="J549" s="50">
        <v>113</v>
      </c>
      <c r="K549" s="50">
        <v>83</v>
      </c>
      <c r="L549" s="50">
        <v>5.75</v>
      </c>
      <c r="M549" s="50">
        <v>5.16</v>
      </c>
      <c r="N549" s="50">
        <v>39</v>
      </c>
      <c r="O549" s="50">
        <v>12.3</v>
      </c>
      <c r="P549" s="50">
        <v>9.3000000000000007</v>
      </c>
      <c r="Q549" s="50">
        <v>35.299999999999997</v>
      </c>
      <c r="R549" s="50">
        <v>40.700000000000003</v>
      </c>
      <c r="S549" s="50">
        <v>25.1</v>
      </c>
      <c r="T549" s="50">
        <v>58</v>
      </c>
      <c r="U549" s="50">
        <v>10.88</v>
      </c>
      <c r="V549" s="50">
        <v>55.3</v>
      </c>
      <c r="W549" s="50">
        <v>59</v>
      </c>
      <c r="X549" s="50">
        <v>383</v>
      </c>
      <c r="Y549" s="50">
        <v>14.44</v>
      </c>
      <c r="Z549" s="50">
        <v>32.4</v>
      </c>
      <c r="AA549" s="50">
        <v>4.4400000000000004</v>
      </c>
      <c r="AB549" s="50"/>
      <c r="AC549" s="50"/>
      <c r="AD549" s="50"/>
      <c r="AE549" s="50"/>
      <c r="AF549" s="50"/>
      <c r="AG549" s="50"/>
      <c r="AH549" s="50"/>
      <c r="AI549" s="50"/>
      <c r="AJ549" s="50"/>
    </row>
    <row r="550" spans="1:36" ht="15" customHeight="1" x14ac:dyDescent="0.25">
      <c r="A550" s="50">
        <v>110</v>
      </c>
      <c r="B550" s="50" t="s">
        <v>925</v>
      </c>
      <c r="C550" s="50" t="s">
        <v>1357</v>
      </c>
      <c r="D550" s="50">
        <v>38</v>
      </c>
      <c r="E550" s="50" t="s">
        <v>1359</v>
      </c>
      <c r="F550" s="50">
        <v>12</v>
      </c>
      <c r="G550" s="50">
        <v>4.4000000000000004</v>
      </c>
      <c r="H550" s="50">
        <v>38</v>
      </c>
      <c r="I550" s="50">
        <v>2.0699999999999998</v>
      </c>
      <c r="J550" s="50">
        <v>116</v>
      </c>
      <c r="K550" s="50">
        <v>74</v>
      </c>
      <c r="L550" s="50">
        <v>5.41</v>
      </c>
      <c r="M550" s="50">
        <v>4.6500000000000004</v>
      </c>
      <c r="N550" s="50">
        <v>40</v>
      </c>
      <c r="O550" s="50">
        <v>10.5</v>
      </c>
      <c r="P550" s="50">
        <v>9.8000000000000007</v>
      </c>
      <c r="Q550" s="50">
        <v>35</v>
      </c>
      <c r="R550" s="50">
        <v>43.4</v>
      </c>
      <c r="S550" s="50">
        <v>28.2</v>
      </c>
      <c r="T550" s="50">
        <v>57</v>
      </c>
      <c r="U550" s="50">
        <v>10.81</v>
      </c>
      <c r="V550" s="50">
        <v>57</v>
      </c>
      <c r="W550" s="50">
        <v>64</v>
      </c>
      <c r="X550" s="50">
        <v>403</v>
      </c>
      <c r="Y550" s="50">
        <v>13.19</v>
      </c>
      <c r="Z550" s="50">
        <v>33.1</v>
      </c>
      <c r="AA550" s="50">
        <v>4.9400000000000004</v>
      </c>
      <c r="AB550" s="50"/>
      <c r="AC550" s="50"/>
      <c r="AD550" s="50"/>
      <c r="AE550" s="50"/>
      <c r="AF550" s="50"/>
      <c r="AG550" s="50"/>
      <c r="AH550" s="50"/>
      <c r="AI550" s="50"/>
      <c r="AJ550" s="50"/>
    </row>
    <row r="551" spans="1:36" ht="15" customHeight="1" x14ac:dyDescent="0.25">
      <c r="A551" s="50">
        <v>110</v>
      </c>
      <c r="B551" s="50" t="s">
        <v>925</v>
      </c>
      <c r="C551" s="50" t="s">
        <v>1357</v>
      </c>
      <c r="D551" s="50">
        <v>38</v>
      </c>
      <c r="E551" s="50" t="s">
        <v>1359</v>
      </c>
      <c r="F551" s="50">
        <v>21</v>
      </c>
      <c r="G551" s="50">
        <v>2.8</v>
      </c>
      <c r="H551" s="50">
        <v>30</v>
      </c>
      <c r="I551" s="50">
        <v>1.42</v>
      </c>
      <c r="J551" s="50">
        <v>125</v>
      </c>
      <c r="K551" s="50">
        <v>55</v>
      </c>
      <c r="L551" s="50">
        <v>4</v>
      </c>
      <c r="M551" s="50">
        <v>4.0599999999999996</v>
      </c>
      <c r="N551" s="50">
        <v>31</v>
      </c>
      <c r="O551" s="50">
        <v>9.6</v>
      </c>
      <c r="P551" s="50">
        <v>7.6</v>
      </c>
      <c r="Q551" s="50">
        <v>26.4</v>
      </c>
      <c r="R551" s="50">
        <v>55.2</v>
      </c>
      <c r="S551" s="50">
        <v>36</v>
      </c>
      <c r="T551" s="50">
        <v>67</v>
      </c>
      <c r="U551" s="50">
        <v>7.44</v>
      </c>
      <c r="V551" s="50">
        <v>59.6</v>
      </c>
      <c r="W551" s="50">
        <v>75</v>
      </c>
      <c r="X551" s="50">
        <v>453</v>
      </c>
      <c r="Y551" s="50">
        <v>10.039999999999999</v>
      </c>
      <c r="Z551" s="50">
        <v>38.299999999999997</v>
      </c>
      <c r="AA551" s="50">
        <v>5.53</v>
      </c>
      <c r="AB551" s="50"/>
      <c r="AC551" s="50"/>
      <c r="AD551" s="50"/>
      <c r="AE551" s="50"/>
      <c r="AF551" s="50"/>
      <c r="AG551" s="50"/>
      <c r="AH551" s="50"/>
      <c r="AI551" s="50"/>
      <c r="AJ551" s="50"/>
    </row>
    <row r="552" spans="1:36" ht="15" customHeight="1" x14ac:dyDescent="0.25">
      <c r="A552" s="50">
        <v>111</v>
      </c>
      <c r="B552" s="50" t="s">
        <v>925</v>
      </c>
      <c r="C552" s="50" t="s">
        <v>1357</v>
      </c>
      <c r="D552" s="50">
        <v>31</v>
      </c>
      <c r="E552" s="50" t="s">
        <v>1359</v>
      </c>
      <c r="F552" s="50">
        <v>0</v>
      </c>
      <c r="G552" s="50">
        <v>6.4</v>
      </c>
      <c r="H552" s="50">
        <v>56</v>
      </c>
      <c r="I552" s="50">
        <v>4.29</v>
      </c>
      <c r="J552" s="50">
        <v>93</v>
      </c>
      <c r="K552" s="50">
        <v>100</v>
      </c>
      <c r="L552" s="50">
        <v>7.45</v>
      </c>
      <c r="M552" s="50">
        <v>5.43</v>
      </c>
      <c r="N552" s="50">
        <v>54</v>
      </c>
      <c r="O552" s="50">
        <v>13.6</v>
      </c>
      <c r="P552" s="50">
        <v>12.8</v>
      </c>
      <c r="Q552" s="50">
        <v>58.1</v>
      </c>
      <c r="R552" s="50">
        <v>30.7</v>
      </c>
      <c r="S552" s="50">
        <v>12</v>
      </c>
      <c r="T552" s="50">
        <v>35</v>
      </c>
      <c r="U552" s="50">
        <v>10.75</v>
      </c>
      <c r="V552" s="50">
        <v>60.8</v>
      </c>
      <c r="W552" s="50">
        <v>37</v>
      </c>
      <c r="X552" s="50">
        <v>318</v>
      </c>
      <c r="Y552" s="50">
        <v>16.39</v>
      </c>
      <c r="Z552" s="50">
        <v>30</v>
      </c>
      <c r="AA552" s="50">
        <v>4.59</v>
      </c>
      <c r="AB552" s="50"/>
      <c r="AC552" s="50"/>
      <c r="AD552" s="50"/>
      <c r="AE552" s="50"/>
      <c r="AF552" s="50"/>
      <c r="AG552" s="50"/>
      <c r="AH552" s="50"/>
      <c r="AI552" s="50"/>
      <c r="AJ552" s="50"/>
    </row>
    <row r="553" spans="1:36" ht="15" customHeight="1" x14ac:dyDescent="0.25">
      <c r="A553" s="50">
        <v>111</v>
      </c>
      <c r="B553" s="50" t="s">
        <v>925</v>
      </c>
      <c r="C553" s="50" t="s">
        <v>1357</v>
      </c>
      <c r="D553" s="50">
        <v>31</v>
      </c>
      <c r="E553" s="50" t="s">
        <v>1359</v>
      </c>
      <c r="F553" s="50">
        <v>4</v>
      </c>
      <c r="G553" s="50">
        <v>5.8</v>
      </c>
      <c r="H553" s="50">
        <v>53</v>
      </c>
      <c r="I553" s="50">
        <v>3.89</v>
      </c>
      <c r="J553" s="50">
        <v>102</v>
      </c>
      <c r="K553" s="50">
        <v>91</v>
      </c>
      <c r="L553" s="50">
        <v>6.7</v>
      </c>
      <c r="M553" s="50">
        <v>5.13</v>
      </c>
      <c r="N553" s="50">
        <v>48</v>
      </c>
      <c r="O553" s="50">
        <v>12.7</v>
      </c>
      <c r="P553" s="50">
        <v>12.4</v>
      </c>
      <c r="Q553" s="50">
        <v>55.5</v>
      </c>
      <c r="R553" s="50">
        <v>37.200000000000003</v>
      </c>
      <c r="S553" s="50">
        <v>16.399999999999999</v>
      </c>
      <c r="T553" s="50">
        <v>43</v>
      </c>
      <c r="U553" s="50">
        <v>10.14</v>
      </c>
      <c r="V553" s="50">
        <v>60.9</v>
      </c>
      <c r="W553" s="50">
        <v>43</v>
      </c>
      <c r="X553" s="50">
        <v>322</v>
      </c>
      <c r="Y553" s="50">
        <v>15.08</v>
      </c>
      <c r="Z553" s="50">
        <v>30.7</v>
      </c>
      <c r="AA553" s="50">
        <v>4.68</v>
      </c>
      <c r="AB553" s="50"/>
      <c r="AC553" s="50"/>
      <c r="AD553" s="50"/>
      <c r="AE553" s="50"/>
      <c r="AF553" s="50"/>
      <c r="AG553" s="50"/>
      <c r="AH553" s="50"/>
      <c r="AI553" s="50"/>
      <c r="AJ553" s="50"/>
    </row>
    <row r="554" spans="1:36" ht="15" customHeight="1" x14ac:dyDescent="0.25">
      <c r="A554" s="50">
        <v>111</v>
      </c>
      <c r="B554" s="50" t="s">
        <v>925</v>
      </c>
      <c r="C554" s="50" t="s">
        <v>1357</v>
      </c>
      <c r="D554" s="50">
        <v>31</v>
      </c>
      <c r="E554" s="50" t="s">
        <v>1359</v>
      </c>
      <c r="F554" s="50">
        <v>8</v>
      </c>
      <c r="G554" s="50">
        <v>5.0999999999999996</v>
      </c>
      <c r="H554" s="50">
        <v>51</v>
      </c>
      <c r="I554" s="50">
        <v>3.59</v>
      </c>
      <c r="J554" s="50">
        <v>107</v>
      </c>
      <c r="K554" s="50">
        <v>83</v>
      </c>
      <c r="L554" s="50">
        <v>5.94</v>
      </c>
      <c r="M554" s="50">
        <v>4.5199999999999996</v>
      </c>
      <c r="N554" s="50">
        <v>47</v>
      </c>
      <c r="O554" s="50">
        <v>12</v>
      </c>
      <c r="P554" s="50">
        <v>11</v>
      </c>
      <c r="Q554" s="50">
        <v>48.8</v>
      </c>
      <c r="R554" s="50">
        <v>42.9</v>
      </c>
      <c r="S554" s="50">
        <v>20.2</v>
      </c>
      <c r="T554" s="50">
        <v>48</v>
      </c>
      <c r="U554" s="50">
        <v>9.4499999999999993</v>
      </c>
      <c r="V554" s="50">
        <v>63</v>
      </c>
      <c r="W554" s="50">
        <v>51</v>
      </c>
      <c r="X554" s="50">
        <v>362</v>
      </c>
      <c r="Y554" s="50">
        <v>15.34</v>
      </c>
      <c r="Z554" s="50">
        <v>33.700000000000003</v>
      </c>
      <c r="AA554" s="50">
        <v>4.6100000000000003</v>
      </c>
      <c r="AB554" s="50"/>
      <c r="AC554" s="50"/>
      <c r="AD554" s="50"/>
      <c r="AE554" s="50"/>
      <c r="AF554" s="50"/>
      <c r="AG554" s="50"/>
      <c r="AH554" s="50"/>
      <c r="AI554" s="50"/>
      <c r="AJ554" s="50"/>
    </row>
    <row r="555" spans="1:36" ht="15" customHeight="1" x14ac:dyDescent="0.25">
      <c r="A555" s="50">
        <v>111</v>
      </c>
      <c r="B555" s="50" t="s">
        <v>925</v>
      </c>
      <c r="C555" s="50" t="s">
        <v>1357</v>
      </c>
      <c r="D555" s="50">
        <v>31</v>
      </c>
      <c r="E555" s="50" t="s">
        <v>1359</v>
      </c>
      <c r="F555" s="50">
        <v>12</v>
      </c>
      <c r="G555" s="50">
        <v>4.5999999999999996</v>
      </c>
      <c r="H555" s="50">
        <v>47</v>
      </c>
      <c r="I555" s="50">
        <v>3.2</v>
      </c>
      <c r="J555" s="50">
        <v>111</v>
      </c>
      <c r="K555" s="50">
        <v>74</v>
      </c>
      <c r="L555" s="50">
        <v>4.99</v>
      </c>
      <c r="M555" s="50">
        <v>4.2300000000000004</v>
      </c>
      <c r="N555" s="50">
        <v>44</v>
      </c>
      <c r="O555" s="50">
        <v>10</v>
      </c>
      <c r="P555" s="50">
        <v>12</v>
      </c>
      <c r="Q555" s="50">
        <v>43.3</v>
      </c>
      <c r="R555" s="50">
        <v>47.2</v>
      </c>
      <c r="S555" s="50">
        <v>20.9</v>
      </c>
      <c r="T555" s="50">
        <v>47</v>
      </c>
      <c r="U555" s="50">
        <v>8.5399999999999991</v>
      </c>
      <c r="V555" s="50">
        <v>62.3</v>
      </c>
      <c r="W555" s="50">
        <v>52</v>
      </c>
      <c r="X555" s="50">
        <v>351</v>
      </c>
      <c r="Y555" s="50">
        <v>14.93</v>
      </c>
      <c r="Z555" s="50">
        <v>33.9</v>
      </c>
      <c r="AA555" s="50">
        <v>5.19</v>
      </c>
      <c r="AB555" s="50"/>
      <c r="AC555" s="50"/>
      <c r="AD555" s="50"/>
      <c r="AE555" s="50"/>
      <c r="AF555" s="50"/>
      <c r="AG555" s="50"/>
      <c r="AH555" s="50"/>
      <c r="AI555" s="50"/>
      <c r="AJ555" s="50"/>
    </row>
    <row r="556" spans="1:36" ht="15" customHeight="1" x14ac:dyDescent="0.25">
      <c r="A556" s="50">
        <v>111</v>
      </c>
      <c r="B556" s="50" t="s">
        <v>925</v>
      </c>
      <c r="C556" s="50" t="s">
        <v>1357</v>
      </c>
      <c r="D556" s="50">
        <v>31</v>
      </c>
      <c r="E556" s="50" t="s">
        <v>1359</v>
      </c>
      <c r="F556" s="50">
        <v>21</v>
      </c>
      <c r="G556" s="50">
        <v>2.8</v>
      </c>
      <c r="H556" s="50">
        <v>40</v>
      </c>
      <c r="I556" s="50">
        <v>2.16</v>
      </c>
      <c r="J556" s="50">
        <v>125</v>
      </c>
      <c r="K556" s="50">
        <v>55</v>
      </c>
      <c r="L556" s="50">
        <v>3.2</v>
      </c>
      <c r="M556" s="50">
        <v>2.88</v>
      </c>
      <c r="N556" s="50">
        <v>28</v>
      </c>
      <c r="O556" s="50">
        <v>8.6999999999999993</v>
      </c>
      <c r="P556" s="50">
        <v>9.6</v>
      </c>
      <c r="Q556" s="50">
        <v>24.2</v>
      </c>
      <c r="R556" s="50">
        <v>64.900000000000006</v>
      </c>
      <c r="S556" s="50">
        <v>28.8</v>
      </c>
      <c r="T556" s="50">
        <v>58</v>
      </c>
      <c r="U556" s="50">
        <v>6.23</v>
      </c>
      <c r="V556" s="50">
        <v>66.599999999999994</v>
      </c>
      <c r="W556" s="50">
        <v>68</v>
      </c>
      <c r="X556" s="50">
        <v>447</v>
      </c>
      <c r="Y556" s="50">
        <v>12.16</v>
      </c>
      <c r="Z556" s="50">
        <v>39.200000000000003</v>
      </c>
      <c r="AA556" s="50">
        <v>6.18</v>
      </c>
      <c r="AB556" s="50"/>
      <c r="AC556" s="50"/>
      <c r="AD556" s="50"/>
      <c r="AE556" s="50"/>
      <c r="AF556" s="50"/>
      <c r="AG556" s="50"/>
      <c r="AH556" s="50"/>
      <c r="AI556" s="50"/>
      <c r="AJ556" s="50"/>
    </row>
    <row r="557" spans="1:36" ht="15" customHeight="1" x14ac:dyDescent="0.25">
      <c r="A557" s="50">
        <v>112</v>
      </c>
      <c r="B557" s="50" t="s">
        <v>925</v>
      </c>
      <c r="C557" s="50" t="s">
        <v>1357</v>
      </c>
      <c r="D557" s="50">
        <v>36</v>
      </c>
      <c r="E557" s="50" t="s">
        <v>1360</v>
      </c>
      <c r="F557" s="50">
        <v>0</v>
      </c>
      <c r="G557" s="50">
        <v>7.1</v>
      </c>
      <c r="H557" s="50">
        <v>33</v>
      </c>
      <c r="I557" s="50">
        <v>3.78</v>
      </c>
      <c r="J557" s="50">
        <v>104</v>
      </c>
      <c r="K557" s="50">
        <v>100</v>
      </c>
      <c r="L557" s="50">
        <v>6.64</v>
      </c>
      <c r="M557" s="50">
        <v>6.22</v>
      </c>
      <c r="N557" s="50">
        <v>41</v>
      </c>
      <c r="O557" s="50">
        <v>16.7</v>
      </c>
      <c r="P557" s="50">
        <v>13.3</v>
      </c>
      <c r="Q557" s="50">
        <v>55.5</v>
      </c>
      <c r="R557" s="50">
        <v>47.1</v>
      </c>
      <c r="S557" s="50">
        <v>14.4</v>
      </c>
      <c r="T557" s="50">
        <v>47</v>
      </c>
      <c r="U557" s="50">
        <v>9.75</v>
      </c>
      <c r="V557" s="50">
        <v>63.7</v>
      </c>
      <c r="W557" s="50">
        <v>62</v>
      </c>
      <c r="X557" s="50">
        <v>331</v>
      </c>
      <c r="Y557" s="50">
        <v>12.76</v>
      </c>
      <c r="Z557" s="50">
        <v>29.5</v>
      </c>
      <c r="AA557" s="50">
        <v>4.6399999999999997</v>
      </c>
      <c r="AB557" s="50"/>
      <c r="AC557" s="50"/>
      <c r="AD557" s="50"/>
      <c r="AE557" s="50"/>
      <c r="AF557" s="50"/>
      <c r="AG557" s="50"/>
      <c r="AH557" s="50"/>
      <c r="AI557" s="50"/>
      <c r="AJ557" s="50"/>
    </row>
    <row r="558" spans="1:36" ht="15" customHeight="1" x14ac:dyDescent="0.25">
      <c r="A558" s="50">
        <v>112</v>
      </c>
      <c r="B558" s="50" t="s">
        <v>925</v>
      </c>
      <c r="C558" s="50" t="s">
        <v>1357</v>
      </c>
      <c r="D558" s="50">
        <v>36</v>
      </c>
      <c r="E558" s="50" t="s">
        <v>1360</v>
      </c>
      <c r="F558" s="50">
        <v>4</v>
      </c>
      <c r="G558" s="50">
        <v>6.2</v>
      </c>
      <c r="H558" s="50">
        <v>26</v>
      </c>
      <c r="I558" s="50">
        <v>3.52</v>
      </c>
      <c r="J558" s="50">
        <v>105</v>
      </c>
      <c r="K558" s="50">
        <v>91</v>
      </c>
      <c r="L558" s="50">
        <v>5.77</v>
      </c>
      <c r="M558" s="50">
        <v>5.76</v>
      </c>
      <c r="N558" s="50">
        <v>36</v>
      </c>
      <c r="O558" s="50">
        <v>15</v>
      </c>
      <c r="P558" s="50">
        <v>13.3</v>
      </c>
      <c r="Q558" s="50">
        <v>52.2</v>
      </c>
      <c r="R558" s="50">
        <v>50.1</v>
      </c>
      <c r="S558" s="50">
        <v>18.8</v>
      </c>
      <c r="T558" s="50">
        <v>45</v>
      </c>
      <c r="U558" s="50">
        <v>8.07</v>
      </c>
      <c r="V558" s="50">
        <v>64.7</v>
      </c>
      <c r="W558" s="50">
        <v>62</v>
      </c>
      <c r="X558" s="50">
        <v>373</v>
      </c>
      <c r="Y558" s="50">
        <v>11.93</v>
      </c>
      <c r="Z558" s="50">
        <v>31.1</v>
      </c>
      <c r="AA558" s="50">
        <v>5.18</v>
      </c>
      <c r="AB558" s="50"/>
      <c r="AC558" s="50"/>
      <c r="AD558" s="50"/>
      <c r="AE558" s="50"/>
      <c r="AF558" s="50"/>
      <c r="AG558" s="50"/>
      <c r="AH558" s="50"/>
      <c r="AI558" s="50"/>
      <c r="AJ558" s="50"/>
    </row>
    <row r="559" spans="1:36" ht="15" customHeight="1" x14ac:dyDescent="0.25">
      <c r="A559" s="50">
        <v>112</v>
      </c>
      <c r="B559" s="50" t="s">
        <v>925</v>
      </c>
      <c r="C559" s="50" t="s">
        <v>1357</v>
      </c>
      <c r="D559" s="50">
        <v>36</v>
      </c>
      <c r="E559" s="50" t="s">
        <v>1360</v>
      </c>
      <c r="F559" s="50">
        <v>8</v>
      </c>
      <c r="G559" s="50">
        <v>5.4</v>
      </c>
      <c r="H559" s="50">
        <v>22</v>
      </c>
      <c r="I559" s="50">
        <v>3.08</v>
      </c>
      <c r="J559" s="50">
        <v>112</v>
      </c>
      <c r="K559" s="50">
        <v>83</v>
      </c>
      <c r="L559" s="50">
        <v>5.0999999999999996</v>
      </c>
      <c r="M559" s="50">
        <v>5.29</v>
      </c>
      <c r="N559" s="50">
        <v>34</v>
      </c>
      <c r="O559" s="50">
        <v>14.2</v>
      </c>
      <c r="P559" s="50">
        <v>12.5</v>
      </c>
      <c r="Q559" s="50">
        <v>48.4</v>
      </c>
      <c r="R559" s="50">
        <v>53</v>
      </c>
      <c r="S559" s="50">
        <v>21.6</v>
      </c>
      <c r="T559" s="50">
        <v>48</v>
      </c>
      <c r="U559" s="50">
        <v>8.2899999999999991</v>
      </c>
      <c r="V559" s="50">
        <v>66.8</v>
      </c>
      <c r="W559" s="50">
        <v>65</v>
      </c>
      <c r="X559" s="50">
        <v>406</v>
      </c>
      <c r="Y559" s="50">
        <v>11.17</v>
      </c>
      <c r="Z559" s="50">
        <v>31.5</v>
      </c>
      <c r="AA559" s="50">
        <v>5.21</v>
      </c>
      <c r="AB559" s="50"/>
      <c r="AC559" s="50"/>
      <c r="AD559" s="50"/>
      <c r="AE559" s="50"/>
      <c r="AF559" s="50"/>
      <c r="AG559" s="50"/>
      <c r="AH559" s="50"/>
      <c r="AI559" s="50"/>
      <c r="AJ559" s="50"/>
    </row>
    <row r="560" spans="1:36" ht="15" customHeight="1" x14ac:dyDescent="0.25">
      <c r="A560" s="50">
        <v>112</v>
      </c>
      <c r="B560" s="50" t="s">
        <v>925</v>
      </c>
      <c r="C560" s="50" t="s">
        <v>1357</v>
      </c>
      <c r="D560" s="50">
        <v>36</v>
      </c>
      <c r="E560" s="50" t="s">
        <v>1360</v>
      </c>
      <c r="F560" s="50">
        <v>12</v>
      </c>
      <c r="G560" s="50">
        <v>4.5999999999999996</v>
      </c>
      <c r="H560" s="50">
        <v>18</v>
      </c>
      <c r="I560" s="50">
        <v>2.77</v>
      </c>
      <c r="J560" s="50">
        <v>118</v>
      </c>
      <c r="K560" s="50">
        <v>74</v>
      </c>
      <c r="L560" s="50">
        <v>4.43</v>
      </c>
      <c r="M560" s="50">
        <v>4.47</v>
      </c>
      <c r="N560" s="50">
        <v>30</v>
      </c>
      <c r="O560" s="50">
        <v>13.9</v>
      </c>
      <c r="P560" s="50">
        <v>11.2</v>
      </c>
      <c r="Q560" s="50">
        <v>41.9</v>
      </c>
      <c r="R560" s="50">
        <v>58.3</v>
      </c>
      <c r="S560" s="50">
        <v>25.8</v>
      </c>
      <c r="T560" s="50">
        <v>48</v>
      </c>
      <c r="U560" s="50">
        <v>7.52</v>
      </c>
      <c r="V560" s="50">
        <v>68.599999999999994</v>
      </c>
      <c r="W560" s="50">
        <v>68</v>
      </c>
      <c r="X560" s="50">
        <v>426</v>
      </c>
      <c r="Y560" s="50">
        <v>10.61</v>
      </c>
      <c r="Z560" s="50">
        <v>34.5</v>
      </c>
      <c r="AA560" s="50">
        <v>5.85</v>
      </c>
      <c r="AB560" s="50"/>
      <c r="AC560" s="50"/>
      <c r="AD560" s="50"/>
      <c r="AE560" s="50"/>
      <c r="AF560" s="50"/>
      <c r="AG560" s="50"/>
      <c r="AH560" s="50"/>
      <c r="AI560" s="50"/>
      <c r="AJ560" s="50"/>
    </row>
    <row r="561" spans="1:36" ht="15" customHeight="1" x14ac:dyDescent="0.25">
      <c r="A561" s="50">
        <v>112</v>
      </c>
      <c r="B561" s="50" t="s">
        <v>925</v>
      </c>
      <c r="C561" s="50" t="s">
        <v>1357</v>
      </c>
      <c r="D561" s="50">
        <v>36</v>
      </c>
      <c r="E561" s="50" t="s">
        <v>1360</v>
      </c>
      <c r="F561" s="50">
        <v>21</v>
      </c>
      <c r="G561" s="50">
        <v>2.9</v>
      </c>
      <c r="H561" s="50">
        <v>11</v>
      </c>
      <c r="I561" s="50">
        <v>1.94</v>
      </c>
      <c r="J561" s="50">
        <v>128</v>
      </c>
      <c r="K561" s="50">
        <v>55</v>
      </c>
      <c r="L561" s="50">
        <v>3.45</v>
      </c>
      <c r="M561" s="50">
        <v>2.87</v>
      </c>
      <c r="N561" s="50">
        <v>23</v>
      </c>
      <c r="O561" s="50">
        <v>11.4</v>
      </c>
      <c r="P561" s="50">
        <v>8.9</v>
      </c>
      <c r="Q561" s="50">
        <v>32.6</v>
      </c>
      <c r="R561" s="50">
        <v>64.099999999999994</v>
      </c>
      <c r="S561" s="50">
        <v>35.1</v>
      </c>
      <c r="T561" s="50">
        <v>51</v>
      </c>
      <c r="U561" s="50">
        <v>5.69</v>
      </c>
      <c r="V561" s="50">
        <v>69.599999999999994</v>
      </c>
      <c r="W561" s="50">
        <v>77</v>
      </c>
      <c r="X561" s="50">
        <v>476</v>
      </c>
      <c r="Y561" s="50">
        <v>9.5399999999999991</v>
      </c>
      <c r="Z561" s="50">
        <v>38.299999999999997</v>
      </c>
      <c r="AA561" s="50">
        <v>6.39</v>
      </c>
      <c r="AB561" s="50"/>
      <c r="AC561" s="50"/>
      <c r="AD561" s="50"/>
      <c r="AE561" s="50"/>
      <c r="AF561" s="50"/>
      <c r="AG561" s="50"/>
      <c r="AH561" s="50"/>
      <c r="AI561" s="50"/>
      <c r="AJ561" s="50"/>
    </row>
    <row r="562" spans="1:36" ht="15" customHeight="1" x14ac:dyDescent="0.25">
      <c r="A562" s="50">
        <v>113</v>
      </c>
      <c r="B562" s="50" t="s">
        <v>925</v>
      </c>
      <c r="C562" s="50" t="s">
        <v>1352</v>
      </c>
      <c r="D562" s="50">
        <v>45</v>
      </c>
      <c r="E562" s="50" t="s">
        <v>1355</v>
      </c>
      <c r="F562" s="50">
        <v>0</v>
      </c>
      <c r="G562" s="50">
        <v>7.2</v>
      </c>
      <c r="H562" s="50">
        <v>35</v>
      </c>
      <c r="I562" s="50">
        <v>2.95</v>
      </c>
      <c r="J562" s="50">
        <v>90</v>
      </c>
      <c r="K562" s="50">
        <v>100</v>
      </c>
      <c r="L562" s="50">
        <v>7.08</v>
      </c>
      <c r="M562" s="50">
        <v>4.92</v>
      </c>
      <c r="N562" s="50">
        <v>43</v>
      </c>
      <c r="O562" s="50">
        <v>15.1</v>
      </c>
      <c r="P562" s="50">
        <v>10.6</v>
      </c>
      <c r="Q562" s="50">
        <v>58.1</v>
      </c>
      <c r="R562" s="50">
        <v>33.9</v>
      </c>
      <c r="S562" s="50">
        <v>35.4</v>
      </c>
      <c r="T562" s="50">
        <v>35</v>
      </c>
      <c r="U562" s="50">
        <v>14.89</v>
      </c>
      <c r="V562" s="50">
        <v>58.2</v>
      </c>
      <c r="W562" s="50">
        <v>52</v>
      </c>
      <c r="X562" s="50">
        <v>383</v>
      </c>
      <c r="Y562" s="50">
        <v>16.059999999999999</v>
      </c>
      <c r="Z562" s="50">
        <v>22.5</v>
      </c>
      <c r="AA562" s="50">
        <v>4.78</v>
      </c>
      <c r="AB562" s="50"/>
      <c r="AC562" s="50"/>
      <c r="AD562" s="50"/>
      <c r="AE562" s="50"/>
      <c r="AF562" s="50"/>
      <c r="AG562" s="50"/>
      <c r="AH562" s="50"/>
      <c r="AI562" s="50"/>
      <c r="AJ562" s="50"/>
    </row>
    <row r="563" spans="1:36" ht="15" customHeight="1" x14ac:dyDescent="0.25">
      <c r="A563" s="50">
        <v>113</v>
      </c>
      <c r="B563" s="50" t="s">
        <v>925</v>
      </c>
      <c r="C563" s="50" t="s">
        <v>1352</v>
      </c>
      <c r="D563" s="50">
        <v>45</v>
      </c>
      <c r="E563" s="50" t="s">
        <v>1355</v>
      </c>
      <c r="F563" s="50">
        <v>4</v>
      </c>
      <c r="G563" s="50">
        <v>6.1</v>
      </c>
      <c r="H563" s="50">
        <v>30</v>
      </c>
      <c r="I563" s="50">
        <v>2.64</v>
      </c>
      <c r="J563" s="50">
        <v>98</v>
      </c>
      <c r="K563" s="50">
        <v>91</v>
      </c>
      <c r="L563" s="50">
        <v>6.03</v>
      </c>
      <c r="M563" s="50">
        <v>4.21</v>
      </c>
      <c r="N563" s="50">
        <v>39</v>
      </c>
      <c r="O563" s="50">
        <v>14.6</v>
      </c>
      <c r="P563" s="50">
        <v>11.4</v>
      </c>
      <c r="Q563" s="50">
        <v>50.5</v>
      </c>
      <c r="R563" s="50">
        <v>40.1</v>
      </c>
      <c r="S563" s="50">
        <v>39</v>
      </c>
      <c r="T563" s="50">
        <v>41</v>
      </c>
      <c r="U563" s="50">
        <v>13.75</v>
      </c>
      <c r="V563" s="50">
        <v>60.2</v>
      </c>
      <c r="W563" s="50">
        <v>56</v>
      </c>
      <c r="X563" s="50">
        <v>411</v>
      </c>
      <c r="Y563" s="50">
        <v>14.72</v>
      </c>
      <c r="Z563" s="50">
        <v>28.6</v>
      </c>
      <c r="AA563" s="50">
        <v>5.18</v>
      </c>
      <c r="AB563" s="50"/>
      <c r="AC563" s="50"/>
      <c r="AD563" s="50"/>
      <c r="AE563" s="50"/>
      <c r="AF563" s="50"/>
      <c r="AG563" s="50"/>
      <c r="AH563" s="50"/>
      <c r="AI563" s="50"/>
      <c r="AJ563" s="50"/>
    </row>
    <row r="564" spans="1:36" ht="15" customHeight="1" x14ac:dyDescent="0.25">
      <c r="A564" s="50">
        <v>113</v>
      </c>
      <c r="B564" s="50" t="s">
        <v>925</v>
      </c>
      <c r="C564" s="50" t="s">
        <v>1352</v>
      </c>
      <c r="D564" s="50">
        <v>45</v>
      </c>
      <c r="E564" s="50" t="s">
        <v>1355</v>
      </c>
      <c r="F564" s="50">
        <v>8</v>
      </c>
      <c r="G564" s="50">
        <v>5.4</v>
      </c>
      <c r="H564" s="50">
        <v>30</v>
      </c>
      <c r="I564" s="50">
        <v>2.4700000000000002</v>
      </c>
      <c r="J564" s="50">
        <v>101</v>
      </c>
      <c r="K564" s="50">
        <v>83</v>
      </c>
      <c r="L564" s="50">
        <v>5.67</v>
      </c>
      <c r="M564" s="50">
        <v>3.92</v>
      </c>
      <c r="N564" s="50">
        <v>37</v>
      </c>
      <c r="O564" s="50">
        <v>14.4</v>
      </c>
      <c r="P564" s="50">
        <v>10.8</v>
      </c>
      <c r="Q564" s="50">
        <v>47</v>
      </c>
      <c r="R564" s="50">
        <v>45.6</v>
      </c>
      <c r="S564" s="50">
        <v>39.5</v>
      </c>
      <c r="T564" s="50">
        <v>47</v>
      </c>
      <c r="U564" s="50">
        <v>11.54</v>
      </c>
      <c r="V564" s="50">
        <v>61.4</v>
      </c>
      <c r="W564" s="50">
        <v>57</v>
      </c>
      <c r="X564" s="50">
        <v>442</v>
      </c>
      <c r="Y564" s="50">
        <v>12.96</v>
      </c>
      <c r="Z564" s="50">
        <v>27.4</v>
      </c>
      <c r="AA564" s="50">
        <v>4.93</v>
      </c>
      <c r="AB564" s="50"/>
      <c r="AC564" s="50"/>
      <c r="AD564" s="50"/>
      <c r="AE564" s="50"/>
      <c r="AF564" s="50"/>
      <c r="AG564" s="50"/>
      <c r="AH564" s="50"/>
      <c r="AI564" s="50"/>
      <c r="AJ564" s="50"/>
    </row>
    <row r="565" spans="1:36" ht="15" customHeight="1" x14ac:dyDescent="0.25">
      <c r="A565" s="50">
        <v>113</v>
      </c>
      <c r="B565" s="50" t="s">
        <v>925</v>
      </c>
      <c r="C565" s="50" t="s">
        <v>1352</v>
      </c>
      <c r="D565" s="50">
        <v>45</v>
      </c>
      <c r="E565" s="50" t="s">
        <v>1355</v>
      </c>
      <c r="F565" s="50">
        <v>12</v>
      </c>
      <c r="G565" s="50">
        <v>4.5</v>
      </c>
      <c r="H565" s="50">
        <v>26</v>
      </c>
      <c r="I565" s="50">
        <v>2.2200000000000002</v>
      </c>
      <c r="J565" s="50">
        <v>103</v>
      </c>
      <c r="K565" s="50">
        <v>74</v>
      </c>
      <c r="L565" s="50">
        <v>4.5599999999999996</v>
      </c>
      <c r="M565" s="50">
        <v>3.33</v>
      </c>
      <c r="N565" s="50">
        <v>38</v>
      </c>
      <c r="O565" s="50">
        <v>11.6</v>
      </c>
      <c r="P565" s="50">
        <v>9.8000000000000007</v>
      </c>
      <c r="Q565" s="50">
        <v>39.5</v>
      </c>
      <c r="R565" s="50">
        <v>50.5</v>
      </c>
      <c r="S565" s="50">
        <v>40.6</v>
      </c>
      <c r="T565" s="50">
        <v>55</v>
      </c>
      <c r="U565" s="50">
        <v>10.74</v>
      </c>
      <c r="V565" s="50">
        <v>63.6</v>
      </c>
      <c r="W565" s="50">
        <v>62</v>
      </c>
      <c r="X565" s="50">
        <v>463</v>
      </c>
      <c r="Y565" s="50">
        <v>12.35</v>
      </c>
      <c r="Z565" s="50">
        <v>33.799999999999997</v>
      </c>
      <c r="AA565" s="50">
        <v>5.38</v>
      </c>
      <c r="AB565" s="50"/>
      <c r="AC565" s="50"/>
      <c r="AD565" s="50"/>
      <c r="AE565" s="50"/>
      <c r="AF565" s="50"/>
      <c r="AG565" s="50"/>
      <c r="AH565" s="50"/>
      <c r="AI565" s="50"/>
      <c r="AJ565" s="50"/>
    </row>
    <row r="566" spans="1:36" ht="15" customHeight="1" x14ac:dyDescent="0.25">
      <c r="A566" s="50">
        <v>113</v>
      </c>
      <c r="B566" s="50" t="s">
        <v>925</v>
      </c>
      <c r="C566" s="50" t="s">
        <v>1352</v>
      </c>
      <c r="D566" s="50">
        <v>45</v>
      </c>
      <c r="E566" s="50" t="s">
        <v>1355</v>
      </c>
      <c r="F566" s="50">
        <v>21</v>
      </c>
      <c r="G566" s="50">
        <v>3</v>
      </c>
      <c r="H566" s="50">
        <v>17</v>
      </c>
      <c r="I566" s="50">
        <v>1.55</v>
      </c>
      <c r="J566" s="50">
        <v>122</v>
      </c>
      <c r="K566" s="50">
        <v>55</v>
      </c>
      <c r="L566" s="50">
        <v>3.37</v>
      </c>
      <c r="M566" s="50">
        <v>3.17</v>
      </c>
      <c r="N566" s="50">
        <v>30</v>
      </c>
      <c r="O566" s="50">
        <v>11.8</v>
      </c>
      <c r="P566" s="50">
        <v>8</v>
      </c>
      <c r="Q566" s="50">
        <v>32.1</v>
      </c>
      <c r="R566" s="50">
        <v>59.3</v>
      </c>
      <c r="S566" s="50">
        <v>43.1</v>
      </c>
      <c r="T566" s="50">
        <v>59</v>
      </c>
      <c r="U566" s="50">
        <v>9</v>
      </c>
      <c r="V566" s="50">
        <v>67.900000000000006</v>
      </c>
      <c r="W566" s="50">
        <v>65</v>
      </c>
      <c r="X566" s="50">
        <v>499</v>
      </c>
      <c r="Y566" s="50">
        <v>10.130000000000001</v>
      </c>
      <c r="Z566" s="50">
        <v>36.1</v>
      </c>
      <c r="AA566" s="50">
        <v>6.32</v>
      </c>
      <c r="AB566" s="50"/>
      <c r="AC566" s="50"/>
      <c r="AD566" s="50"/>
      <c r="AE566" s="50"/>
      <c r="AF566" s="50"/>
      <c r="AG566" s="50"/>
      <c r="AH566" s="50"/>
      <c r="AI566" s="50"/>
      <c r="AJ566" s="50"/>
    </row>
    <row r="567" spans="1:36" ht="15" customHeight="1" x14ac:dyDescent="0.25">
      <c r="A567" s="50">
        <v>114</v>
      </c>
      <c r="B567" s="50" t="s">
        <v>925</v>
      </c>
      <c r="C567" s="50" t="s">
        <v>1352</v>
      </c>
      <c r="D567" s="50">
        <v>34</v>
      </c>
      <c r="E567" s="50" t="s">
        <v>1360</v>
      </c>
      <c r="F567" s="50">
        <v>0</v>
      </c>
      <c r="G567" s="50">
        <v>6.3</v>
      </c>
      <c r="H567" s="50">
        <v>35</v>
      </c>
      <c r="I567" s="50">
        <v>3.43</v>
      </c>
      <c r="J567" s="50">
        <v>86</v>
      </c>
      <c r="K567" s="50">
        <v>100</v>
      </c>
      <c r="L567" s="50">
        <v>6.62</v>
      </c>
      <c r="M567" s="50">
        <v>5.25</v>
      </c>
      <c r="N567" s="50">
        <v>50</v>
      </c>
      <c r="O567" s="50">
        <v>15.2</v>
      </c>
      <c r="P567" s="50">
        <v>9.5</v>
      </c>
      <c r="Q567" s="50">
        <v>33</v>
      </c>
      <c r="R567" s="50">
        <v>44.7</v>
      </c>
      <c r="S567" s="50">
        <v>17.7</v>
      </c>
      <c r="T567" s="50">
        <v>37</v>
      </c>
      <c r="U567" s="50">
        <v>5.12</v>
      </c>
      <c r="V567" s="50">
        <v>59.5</v>
      </c>
      <c r="W567" s="50">
        <v>35</v>
      </c>
      <c r="X567" s="50">
        <v>353</v>
      </c>
      <c r="Y567" s="50">
        <v>12.13</v>
      </c>
      <c r="Z567" s="50">
        <v>19</v>
      </c>
      <c r="AA567" s="50">
        <v>5.72</v>
      </c>
      <c r="AB567" s="50"/>
      <c r="AC567" s="50"/>
      <c r="AD567" s="50"/>
      <c r="AE567" s="50"/>
      <c r="AF567" s="50"/>
      <c r="AG567" s="50"/>
      <c r="AH567" s="50"/>
      <c r="AI567" s="50"/>
      <c r="AJ567" s="50"/>
    </row>
    <row r="568" spans="1:36" ht="15" customHeight="1" x14ac:dyDescent="0.25">
      <c r="A568" s="50">
        <v>114</v>
      </c>
      <c r="B568" s="50" t="s">
        <v>925</v>
      </c>
      <c r="C568" s="50" t="s">
        <v>1352</v>
      </c>
      <c r="D568" s="50">
        <v>34</v>
      </c>
      <c r="E568" s="50" t="s">
        <v>1360</v>
      </c>
      <c r="F568" s="50">
        <v>4</v>
      </c>
      <c r="G568" s="50">
        <v>5.5</v>
      </c>
      <c r="H568" s="50">
        <v>33</v>
      </c>
      <c r="I568" s="50">
        <v>3.13</v>
      </c>
      <c r="J568" s="50">
        <v>94</v>
      </c>
      <c r="K568" s="50">
        <v>91</v>
      </c>
      <c r="L568" s="50">
        <v>5.84</v>
      </c>
      <c r="M568" s="50">
        <v>4.88</v>
      </c>
      <c r="N568" s="50">
        <v>45</v>
      </c>
      <c r="O568" s="50">
        <v>13.8</v>
      </c>
      <c r="P568" s="50">
        <v>9.3000000000000007</v>
      </c>
      <c r="Q568" s="50">
        <v>31.2</v>
      </c>
      <c r="R568" s="50">
        <v>46.6</v>
      </c>
      <c r="S568" s="50">
        <v>22.1</v>
      </c>
      <c r="T568" s="50">
        <v>42</v>
      </c>
      <c r="U568" s="50">
        <v>4.68</v>
      </c>
      <c r="V568" s="50">
        <v>61.9</v>
      </c>
      <c r="W568" s="50">
        <v>39</v>
      </c>
      <c r="X568" s="50">
        <v>383</v>
      </c>
      <c r="Y568" s="50">
        <v>11.72</v>
      </c>
      <c r="Z568" s="50">
        <v>22.7</v>
      </c>
      <c r="AA568" s="50">
        <v>6.07</v>
      </c>
      <c r="AB568" s="50"/>
      <c r="AC568" s="50"/>
      <c r="AD568" s="50"/>
      <c r="AE568" s="50"/>
      <c r="AF568" s="50"/>
      <c r="AG568" s="50"/>
      <c r="AH568" s="50"/>
      <c r="AI568" s="50"/>
      <c r="AJ568" s="50"/>
    </row>
    <row r="569" spans="1:36" ht="15" customHeight="1" x14ac:dyDescent="0.25">
      <c r="A569" s="50">
        <v>114</v>
      </c>
      <c r="B569" s="50" t="s">
        <v>925</v>
      </c>
      <c r="C569" s="50" t="s">
        <v>1352</v>
      </c>
      <c r="D569" s="50">
        <v>34</v>
      </c>
      <c r="E569" s="50" t="s">
        <v>1360</v>
      </c>
      <c r="F569" s="50">
        <v>8</v>
      </c>
      <c r="G569" s="50">
        <v>4.7</v>
      </c>
      <c r="H569" s="50">
        <v>29</v>
      </c>
      <c r="I569" s="50">
        <v>2.91</v>
      </c>
      <c r="J569" s="50">
        <v>97</v>
      </c>
      <c r="K569" s="50">
        <v>83</v>
      </c>
      <c r="L569" s="50">
        <v>5.29</v>
      </c>
      <c r="M569" s="50">
        <v>4.13</v>
      </c>
      <c r="N569" s="50">
        <v>41</v>
      </c>
      <c r="O569" s="50">
        <v>11.9</v>
      </c>
      <c r="P569" s="50">
        <v>8.9</v>
      </c>
      <c r="Q569" s="50">
        <v>27</v>
      </c>
      <c r="R569" s="50">
        <v>51.9</v>
      </c>
      <c r="S569" s="50">
        <v>27.9</v>
      </c>
      <c r="T569" s="50">
        <v>50</v>
      </c>
      <c r="U569" s="50">
        <v>4.3600000000000003</v>
      </c>
      <c r="V569" s="50">
        <v>62.5</v>
      </c>
      <c r="W569" s="50">
        <v>46</v>
      </c>
      <c r="X569" s="50">
        <v>405</v>
      </c>
      <c r="Y569" s="50">
        <v>10.81</v>
      </c>
      <c r="Z569" s="50">
        <v>26</v>
      </c>
      <c r="AA569" s="50">
        <v>6.03</v>
      </c>
      <c r="AB569" s="50"/>
      <c r="AC569" s="50"/>
      <c r="AD569" s="50"/>
      <c r="AE569" s="50"/>
      <c r="AF569" s="50"/>
      <c r="AG569" s="50"/>
      <c r="AH569" s="50"/>
      <c r="AI569" s="50"/>
      <c r="AJ569" s="50"/>
    </row>
    <row r="570" spans="1:36" ht="15" customHeight="1" x14ac:dyDescent="0.25">
      <c r="A570" s="50">
        <v>114</v>
      </c>
      <c r="B570" s="50" t="s">
        <v>925</v>
      </c>
      <c r="C570" s="50" t="s">
        <v>1352</v>
      </c>
      <c r="D570" s="50">
        <v>34</v>
      </c>
      <c r="E570" s="50" t="s">
        <v>1360</v>
      </c>
      <c r="F570" s="50">
        <v>12</v>
      </c>
      <c r="G570" s="50">
        <v>4.4000000000000004</v>
      </c>
      <c r="H570" s="50">
        <v>27</v>
      </c>
      <c r="I570" s="50">
        <v>2.5299999999999998</v>
      </c>
      <c r="J570" s="50">
        <v>103</v>
      </c>
      <c r="K570" s="50">
        <v>74</v>
      </c>
      <c r="L570" s="50">
        <v>4.99</v>
      </c>
      <c r="M570" s="50">
        <v>3.86</v>
      </c>
      <c r="N570" s="50">
        <v>38</v>
      </c>
      <c r="O570" s="50">
        <v>10.5</v>
      </c>
      <c r="P570" s="50">
        <v>6.9</v>
      </c>
      <c r="Q570" s="50">
        <v>27.7</v>
      </c>
      <c r="R570" s="50">
        <v>47.7</v>
      </c>
      <c r="S570" s="50">
        <v>27.8</v>
      </c>
      <c r="T570" s="50">
        <v>50</v>
      </c>
      <c r="U570" s="50">
        <v>3.19</v>
      </c>
      <c r="V570" s="50">
        <v>65.400000000000006</v>
      </c>
      <c r="W570" s="50">
        <v>49</v>
      </c>
      <c r="X570" s="50">
        <v>430</v>
      </c>
      <c r="Y570" s="50">
        <v>10.95</v>
      </c>
      <c r="Z570" s="50">
        <v>27.2</v>
      </c>
      <c r="AA570" s="50">
        <v>6.11</v>
      </c>
      <c r="AB570" s="50"/>
      <c r="AC570" s="50"/>
      <c r="AD570" s="50"/>
      <c r="AE570" s="50"/>
      <c r="AF570" s="50"/>
      <c r="AG570" s="50"/>
      <c r="AH570" s="50"/>
      <c r="AI570" s="50"/>
      <c r="AJ570" s="50"/>
    </row>
    <row r="571" spans="1:36" ht="15" customHeight="1" x14ac:dyDescent="0.25">
      <c r="A571" s="50">
        <v>114</v>
      </c>
      <c r="B571" s="50" t="s">
        <v>925</v>
      </c>
      <c r="C571" s="50" t="s">
        <v>1352</v>
      </c>
      <c r="D571" s="50">
        <v>34</v>
      </c>
      <c r="E571" s="50" t="s">
        <v>1360</v>
      </c>
      <c r="F571" s="50">
        <v>21</v>
      </c>
      <c r="G571" s="50">
        <v>2.8</v>
      </c>
      <c r="H571" s="50">
        <v>19</v>
      </c>
      <c r="I571" s="50">
        <v>1.79</v>
      </c>
      <c r="J571" s="50">
        <v>111</v>
      </c>
      <c r="K571" s="50">
        <v>55</v>
      </c>
      <c r="L571" s="50">
        <v>3.71</v>
      </c>
      <c r="M571" s="50">
        <v>3.05</v>
      </c>
      <c r="N571" s="50">
        <v>32</v>
      </c>
      <c r="O571" s="50">
        <v>7.5</v>
      </c>
      <c r="P571" s="50">
        <v>8.3000000000000007</v>
      </c>
      <c r="Q571" s="50">
        <v>27.9</v>
      </c>
      <c r="R571" s="50">
        <v>59.5</v>
      </c>
      <c r="S571" s="50">
        <v>34.299999999999997</v>
      </c>
      <c r="T571" s="50">
        <v>65</v>
      </c>
      <c r="U571" s="50">
        <v>1.65</v>
      </c>
      <c r="V571" s="50">
        <v>69.7</v>
      </c>
      <c r="W571" s="50">
        <v>59</v>
      </c>
      <c r="X571" s="50">
        <v>508</v>
      </c>
      <c r="Y571" s="50">
        <v>9.9499999999999993</v>
      </c>
      <c r="Z571" s="50">
        <v>34.9</v>
      </c>
      <c r="AA571" s="50">
        <v>6.84</v>
      </c>
      <c r="AB571" s="50"/>
      <c r="AC571" s="50"/>
      <c r="AD571" s="50"/>
      <c r="AE571" s="50"/>
      <c r="AF571" s="50"/>
      <c r="AG571" s="50"/>
      <c r="AH571" s="50"/>
      <c r="AI571" s="50"/>
      <c r="AJ571" s="50"/>
    </row>
    <row r="572" spans="1:36" ht="15" customHeight="1" x14ac:dyDescent="0.25">
      <c r="A572" s="50">
        <v>115</v>
      </c>
      <c r="B572" s="50" t="s">
        <v>925</v>
      </c>
      <c r="C572" s="50" t="s">
        <v>1352</v>
      </c>
      <c r="D572" s="50">
        <v>47</v>
      </c>
      <c r="E572" s="50" t="s">
        <v>1360</v>
      </c>
      <c r="F572" s="50">
        <v>0</v>
      </c>
      <c r="G572" s="50">
        <v>6.8</v>
      </c>
      <c r="H572" s="50">
        <v>42</v>
      </c>
      <c r="I572" s="50">
        <v>3.99</v>
      </c>
      <c r="J572" s="50">
        <v>90</v>
      </c>
      <c r="K572" s="50">
        <v>100</v>
      </c>
      <c r="L572" s="50">
        <v>7.04</v>
      </c>
      <c r="M572" s="50">
        <v>6.61</v>
      </c>
      <c r="N572" s="50">
        <v>38</v>
      </c>
      <c r="O572" s="50">
        <v>16.899999999999999</v>
      </c>
      <c r="P572" s="50">
        <v>13.3</v>
      </c>
      <c r="Q572" s="50">
        <v>42.9</v>
      </c>
      <c r="R572" s="50">
        <v>31.3</v>
      </c>
      <c r="S572" s="50">
        <v>11.9</v>
      </c>
      <c r="T572" s="50">
        <v>31</v>
      </c>
      <c r="U572" s="50">
        <v>5.97</v>
      </c>
      <c r="V572" s="50">
        <v>60</v>
      </c>
      <c r="W572" s="50">
        <v>48</v>
      </c>
      <c r="X572" s="50">
        <v>407</v>
      </c>
      <c r="Y572" s="50">
        <v>18.329999999999998</v>
      </c>
      <c r="Z572" s="50">
        <v>25.3</v>
      </c>
      <c r="AA572" s="50">
        <v>5.23</v>
      </c>
      <c r="AB572" s="50"/>
      <c r="AC572" s="50"/>
      <c r="AD572" s="50"/>
      <c r="AE572" s="50"/>
      <c r="AF572" s="50"/>
      <c r="AG572" s="50"/>
      <c r="AH572" s="50"/>
      <c r="AI572" s="50"/>
      <c r="AJ572" s="50"/>
    </row>
    <row r="573" spans="1:36" ht="15" customHeight="1" x14ac:dyDescent="0.25">
      <c r="A573" s="50">
        <v>115</v>
      </c>
      <c r="B573" s="50" t="s">
        <v>925</v>
      </c>
      <c r="C573" s="50" t="s">
        <v>1352</v>
      </c>
      <c r="D573" s="50">
        <v>47</v>
      </c>
      <c r="E573" s="50" t="s">
        <v>1360</v>
      </c>
      <c r="F573" s="50">
        <v>4</v>
      </c>
      <c r="G573" s="50">
        <v>6.1</v>
      </c>
      <c r="H573" s="50">
        <v>37</v>
      </c>
      <c r="I573" s="50">
        <v>3.65</v>
      </c>
      <c r="J573" s="50">
        <v>95</v>
      </c>
      <c r="K573" s="50">
        <v>91</v>
      </c>
      <c r="L573" s="50">
        <v>6.5</v>
      </c>
      <c r="M573" s="50">
        <v>6.21</v>
      </c>
      <c r="N573" s="50">
        <v>38</v>
      </c>
      <c r="O573" s="50">
        <v>15.9</v>
      </c>
      <c r="P573" s="50">
        <v>12.5</v>
      </c>
      <c r="Q573" s="50">
        <v>41.7</v>
      </c>
      <c r="R573" s="50">
        <v>37.200000000000003</v>
      </c>
      <c r="S573" s="50">
        <v>17.5</v>
      </c>
      <c r="T573" s="50">
        <v>36</v>
      </c>
      <c r="U573" s="50">
        <v>5.64</v>
      </c>
      <c r="V573" s="50">
        <v>59.8</v>
      </c>
      <c r="W573" s="50">
        <v>50</v>
      </c>
      <c r="X573" s="50">
        <v>436</v>
      </c>
      <c r="Y573" s="50">
        <v>17.13</v>
      </c>
      <c r="Z573" s="50">
        <v>27.4</v>
      </c>
      <c r="AA573" s="50">
        <v>5.26</v>
      </c>
      <c r="AB573" s="50"/>
      <c r="AC573" s="50"/>
      <c r="AD573" s="50"/>
      <c r="AE573" s="50"/>
      <c r="AF573" s="50"/>
      <c r="AG573" s="50"/>
      <c r="AH573" s="50"/>
      <c r="AI573" s="50"/>
      <c r="AJ573" s="50"/>
    </row>
    <row r="574" spans="1:36" ht="15" customHeight="1" x14ac:dyDescent="0.25">
      <c r="A574" s="50">
        <v>115</v>
      </c>
      <c r="B574" s="50" t="s">
        <v>925</v>
      </c>
      <c r="C574" s="50" t="s">
        <v>1352</v>
      </c>
      <c r="D574" s="50">
        <v>47</v>
      </c>
      <c r="E574" s="50" t="s">
        <v>1360</v>
      </c>
      <c r="F574" s="50">
        <v>8</v>
      </c>
      <c r="G574" s="50">
        <v>5.0999999999999996</v>
      </c>
      <c r="H574" s="50">
        <v>33</v>
      </c>
      <c r="I574" s="50">
        <v>3.22</v>
      </c>
      <c r="J574" s="50">
        <v>101</v>
      </c>
      <c r="K574" s="50">
        <v>83</v>
      </c>
      <c r="L574" s="50">
        <v>5.65</v>
      </c>
      <c r="M574" s="50">
        <v>5.17</v>
      </c>
      <c r="N574" s="50">
        <v>33</v>
      </c>
      <c r="O574" s="50">
        <v>14.5</v>
      </c>
      <c r="P574" s="50">
        <v>12.8</v>
      </c>
      <c r="Q574" s="50">
        <v>35.299999999999997</v>
      </c>
      <c r="R574" s="50">
        <v>43.1</v>
      </c>
      <c r="S574" s="50">
        <v>23.4</v>
      </c>
      <c r="T574" s="50">
        <v>46</v>
      </c>
      <c r="U574" s="50">
        <v>5.85</v>
      </c>
      <c r="V574" s="50">
        <v>61.9</v>
      </c>
      <c r="W574" s="50">
        <v>56</v>
      </c>
      <c r="X574" s="50">
        <v>479</v>
      </c>
      <c r="Y574" s="50">
        <v>16.13</v>
      </c>
      <c r="Z574" s="50">
        <v>29.7</v>
      </c>
      <c r="AA574" s="50">
        <v>5.86</v>
      </c>
      <c r="AB574" s="50"/>
      <c r="AC574" s="50"/>
      <c r="AD574" s="50"/>
      <c r="AE574" s="50"/>
      <c r="AF574" s="50"/>
      <c r="AG574" s="50"/>
      <c r="AH574" s="50"/>
      <c r="AI574" s="50"/>
      <c r="AJ574" s="50"/>
    </row>
    <row r="575" spans="1:36" ht="15" customHeight="1" x14ac:dyDescent="0.25">
      <c r="A575" s="50">
        <v>115</v>
      </c>
      <c r="B575" s="50" t="s">
        <v>925</v>
      </c>
      <c r="C575" s="50" t="s">
        <v>1352</v>
      </c>
      <c r="D575" s="50">
        <v>47</v>
      </c>
      <c r="E575" s="50" t="s">
        <v>1360</v>
      </c>
      <c r="F575" s="50">
        <v>12</v>
      </c>
      <c r="G575" s="50">
        <v>4.8</v>
      </c>
      <c r="H575" s="50">
        <v>28</v>
      </c>
      <c r="I575" s="50">
        <v>2.96</v>
      </c>
      <c r="J575" s="50">
        <v>103</v>
      </c>
      <c r="K575" s="50">
        <v>74</v>
      </c>
      <c r="L575" s="50">
        <v>5.23</v>
      </c>
      <c r="M575" s="50">
        <v>5.39</v>
      </c>
      <c r="N575" s="50">
        <v>32</v>
      </c>
      <c r="O575" s="50">
        <v>13.8</v>
      </c>
      <c r="P575" s="50">
        <v>11</v>
      </c>
      <c r="Q575" s="50">
        <v>32</v>
      </c>
      <c r="R575" s="50">
        <v>46.4</v>
      </c>
      <c r="S575" s="50">
        <v>22.3</v>
      </c>
      <c r="T575" s="50">
        <v>46</v>
      </c>
      <c r="U575" s="50">
        <v>5.35</v>
      </c>
      <c r="V575" s="50">
        <v>64.7</v>
      </c>
      <c r="W575" s="50">
        <v>55</v>
      </c>
      <c r="X575" s="50">
        <v>462</v>
      </c>
      <c r="Y575" s="50">
        <v>15.23</v>
      </c>
      <c r="Z575" s="50">
        <v>31.6</v>
      </c>
      <c r="AA575" s="50">
        <v>5.95</v>
      </c>
      <c r="AB575" s="50"/>
      <c r="AC575" s="50"/>
      <c r="AD575" s="50"/>
      <c r="AE575" s="50"/>
      <c r="AF575" s="50"/>
      <c r="AG575" s="50"/>
      <c r="AH575" s="50"/>
      <c r="AI575" s="50"/>
      <c r="AJ575" s="50"/>
    </row>
    <row r="576" spans="1:36" ht="15" customHeight="1" x14ac:dyDescent="0.25">
      <c r="A576" s="50">
        <v>115</v>
      </c>
      <c r="B576" s="50" t="s">
        <v>925</v>
      </c>
      <c r="C576" s="50" t="s">
        <v>1352</v>
      </c>
      <c r="D576" s="50">
        <v>47</v>
      </c>
      <c r="E576" s="50" t="s">
        <v>1360</v>
      </c>
      <c r="F576" s="50">
        <v>21</v>
      </c>
      <c r="G576" s="50">
        <v>2.8</v>
      </c>
      <c r="H576" s="50">
        <v>21</v>
      </c>
      <c r="I576" s="50">
        <v>2.0499999999999998</v>
      </c>
      <c r="J576" s="50">
        <v>115</v>
      </c>
      <c r="K576" s="50">
        <v>55</v>
      </c>
      <c r="L576" s="50">
        <v>3.53</v>
      </c>
      <c r="M576" s="50">
        <v>3.32</v>
      </c>
      <c r="N576" s="50">
        <v>29</v>
      </c>
      <c r="O576" s="50">
        <v>10.3</v>
      </c>
      <c r="P576" s="50">
        <v>8.9</v>
      </c>
      <c r="Q576" s="50">
        <v>20.2</v>
      </c>
      <c r="R576" s="50">
        <v>56.8</v>
      </c>
      <c r="S576" s="50">
        <v>36.5</v>
      </c>
      <c r="T576" s="50">
        <v>55</v>
      </c>
      <c r="U576" s="50">
        <v>3.86</v>
      </c>
      <c r="V576" s="50">
        <v>64</v>
      </c>
      <c r="W576" s="50">
        <v>72</v>
      </c>
      <c r="X576" s="50">
        <v>508</v>
      </c>
      <c r="Y576" s="50">
        <v>11.5</v>
      </c>
      <c r="Z576" s="50">
        <v>35.200000000000003</v>
      </c>
      <c r="AA576" s="50">
        <v>6.21</v>
      </c>
      <c r="AB576" s="50"/>
      <c r="AC576" s="50"/>
      <c r="AD576" s="50"/>
      <c r="AE576" s="50"/>
      <c r="AF576" s="50"/>
      <c r="AG576" s="50"/>
      <c r="AH576" s="50"/>
      <c r="AI576" s="50"/>
      <c r="AJ576" s="50"/>
    </row>
    <row r="577" spans="1:36" ht="15" customHeight="1" x14ac:dyDescent="0.25">
      <c r="A577" s="50">
        <v>116</v>
      </c>
      <c r="B577" s="50" t="s">
        <v>925</v>
      </c>
      <c r="C577" s="50" t="s">
        <v>1352</v>
      </c>
      <c r="D577" s="50">
        <v>48</v>
      </c>
      <c r="E577" s="50" t="s">
        <v>1360</v>
      </c>
      <c r="F577" s="50">
        <v>0</v>
      </c>
      <c r="G577" s="50">
        <v>5.9</v>
      </c>
      <c r="H577" s="50">
        <v>40</v>
      </c>
      <c r="I577" s="50">
        <v>3.52</v>
      </c>
      <c r="J577" s="50">
        <v>100</v>
      </c>
      <c r="K577" s="50">
        <v>100</v>
      </c>
      <c r="L577" s="50">
        <v>6.24</v>
      </c>
      <c r="M577" s="50">
        <v>6.34</v>
      </c>
      <c r="N577" s="50">
        <v>47</v>
      </c>
      <c r="O577" s="50">
        <v>13.4</v>
      </c>
      <c r="P577" s="50">
        <v>9.4</v>
      </c>
      <c r="Q577" s="50">
        <v>49.6</v>
      </c>
      <c r="R577" s="50">
        <v>36.9</v>
      </c>
      <c r="S577" s="50">
        <v>24.2</v>
      </c>
      <c r="T577" s="50">
        <v>48</v>
      </c>
      <c r="U577" s="50">
        <v>7.4</v>
      </c>
      <c r="V577" s="50">
        <v>54.9</v>
      </c>
      <c r="W577" s="50">
        <v>52</v>
      </c>
      <c r="X577" s="50">
        <v>299</v>
      </c>
      <c r="Y577" s="50">
        <v>17.48</v>
      </c>
      <c r="Z577" s="50">
        <v>25.9</v>
      </c>
      <c r="AA577" s="50">
        <v>4.74</v>
      </c>
      <c r="AB577" s="50"/>
      <c r="AC577" s="50"/>
      <c r="AD577" s="50"/>
      <c r="AE577" s="50"/>
      <c r="AF577" s="50"/>
      <c r="AG577" s="50"/>
      <c r="AH577" s="50"/>
      <c r="AI577" s="50"/>
      <c r="AJ577" s="50"/>
    </row>
    <row r="578" spans="1:36" ht="15" customHeight="1" x14ac:dyDescent="0.25">
      <c r="A578" s="50">
        <v>116</v>
      </c>
      <c r="B578" s="50" t="s">
        <v>925</v>
      </c>
      <c r="C578" s="50" t="s">
        <v>1352</v>
      </c>
      <c r="D578" s="50">
        <v>48</v>
      </c>
      <c r="E578" s="50" t="s">
        <v>1360</v>
      </c>
      <c r="F578" s="50">
        <v>4</v>
      </c>
      <c r="G578" s="50">
        <v>5.4</v>
      </c>
      <c r="H578" s="50">
        <v>34</v>
      </c>
      <c r="I578" s="50">
        <v>3.07</v>
      </c>
      <c r="J578" s="50">
        <v>104</v>
      </c>
      <c r="K578" s="50">
        <v>91</v>
      </c>
      <c r="L578" s="50">
        <v>5.59</v>
      </c>
      <c r="M578" s="50">
        <v>5.61</v>
      </c>
      <c r="N578" s="50">
        <v>45</v>
      </c>
      <c r="O578" s="50">
        <v>13.2</v>
      </c>
      <c r="P578" s="50">
        <v>8.6999999999999993</v>
      </c>
      <c r="Q578" s="50">
        <v>46.5</v>
      </c>
      <c r="R578" s="50">
        <v>41.8</v>
      </c>
      <c r="S578" s="50">
        <v>25.2</v>
      </c>
      <c r="T578" s="50">
        <v>48</v>
      </c>
      <c r="U578" s="50">
        <v>7.26</v>
      </c>
      <c r="V578" s="50">
        <v>57.5</v>
      </c>
      <c r="W578" s="50">
        <v>52</v>
      </c>
      <c r="X578" s="50">
        <v>331</v>
      </c>
      <c r="Y578" s="50">
        <v>16.29</v>
      </c>
      <c r="Z578" s="50">
        <v>28.9</v>
      </c>
      <c r="AA578" s="50">
        <v>5.32</v>
      </c>
      <c r="AB578" s="50"/>
      <c r="AC578" s="50"/>
      <c r="AD578" s="50"/>
      <c r="AE578" s="50"/>
      <c r="AF578" s="50"/>
      <c r="AG578" s="50"/>
      <c r="AH578" s="50"/>
      <c r="AI578" s="50"/>
      <c r="AJ578" s="50"/>
    </row>
    <row r="579" spans="1:36" ht="15" customHeight="1" x14ac:dyDescent="0.25">
      <c r="A579" s="50">
        <v>116</v>
      </c>
      <c r="B579" s="50" t="s">
        <v>925</v>
      </c>
      <c r="C579" s="50" t="s">
        <v>1352</v>
      </c>
      <c r="D579" s="50">
        <v>48</v>
      </c>
      <c r="E579" s="50" t="s">
        <v>1360</v>
      </c>
      <c r="F579" s="50">
        <v>8</v>
      </c>
      <c r="G579" s="50">
        <v>4.8</v>
      </c>
      <c r="H579" s="50">
        <v>30</v>
      </c>
      <c r="I579" s="50">
        <v>2.81</v>
      </c>
      <c r="J579" s="50">
        <v>108</v>
      </c>
      <c r="K579" s="50">
        <v>83</v>
      </c>
      <c r="L579" s="50">
        <v>4.84</v>
      </c>
      <c r="M579" s="50">
        <v>5.0599999999999996</v>
      </c>
      <c r="N579" s="50">
        <v>44</v>
      </c>
      <c r="O579" s="50">
        <v>12.1</v>
      </c>
      <c r="P579" s="50">
        <v>9.4</v>
      </c>
      <c r="Q579" s="50">
        <v>42.4</v>
      </c>
      <c r="R579" s="50">
        <v>44.8</v>
      </c>
      <c r="S579" s="50">
        <v>27.5</v>
      </c>
      <c r="T579" s="50">
        <v>55</v>
      </c>
      <c r="U579" s="50">
        <v>7.35</v>
      </c>
      <c r="V579" s="50">
        <v>57.9</v>
      </c>
      <c r="W579" s="50">
        <v>60</v>
      </c>
      <c r="X579" s="50">
        <v>338</v>
      </c>
      <c r="Y579" s="50">
        <v>14.9</v>
      </c>
      <c r="Z579" s="50">
        <v>29.9</v>
      </c>
      <c r="AA579" s="50">
        <v>5.53</v>
      </c>
      <c r="AB579" s="50"/>
      <c r="AC579" s="50"/>
      <c r="AD579" s="50"/>
      <c r="AE579" s="50"/>
      <c r="AF579" s="50"/>
      <c r="AG579" s="50"/>
      <c r="AH579" s="50"/>
      <c r="AI579" s="50"/>
      <c r="AJ579" s="50"/>
    </row>
    <row r="580" spans="1:36" ht="15" customHeight="1" x14ac:dyDescent="0.25">
      <c r="A580" s="50">
        <v>116</v>
      </c>
      <c r="B580" s="50" t="s">
        <v>925</v>
      </c>
      <c r="C580" s="50" t="s">
        <v>1352</v>
      </c>
      <c r="D580" s="50">
        <v>48</v>
      </c>
      <c r="E580" s="50" t="s">
        <v>1360</v>
      </c>
      <c r="F580" s="50">
        <v>12</v>
      </c>
      <c r="G580" s="50">
        <v>3.8</v>
      </c>
      <c r="H580" s="50">
        <v>27</v>
      </c>
      <c r="I580" s="50">
        <v>2.46</v>
      </c>
      <c r="J580" s="50">
        <v>117</v>
      </c>
      <c r="K580" s="50">
        <v>74</v>
      </c>
      <c r="L580" s="50">
        <v>3.97</v>
      </c>
      <c r="M580" s="50">
        <v>3.89</v>
      </c>
      <c r="N580" s="50">
        <v>37</v>
      </c>
      <c r="O580" s="50">
        <v>10.3</v>
      </c>
      <c r="P580" s="50">
        <v>7.3</v>
      </c>
      <c r="Q580" s="50">
        <v>43.6</v>
      </c>
      <c r="R580" s="50">
        <v>53.6</v>
      </c>
      <c r="S580" s="50">
        <v>33.5</v>
      </c>
      <c r="T580" s="50">
        <v>63</v>
      </c>
      <c r="U580" s="50">
        <v>6.43</v>
      </c>
      <c r="V580" s="50">
        <v>65.2</v>
      </c>
      <c r="W580" s="50">
        <v>65</v>
      </c>
      <c r="X580" s="50">
        <v>395</v>
      </c>
      <c r="Y580" s="50">
        <v>12.87</v>
      </c>
      <c r="Z580" s="50">
        <v>35.4</v>
      </c>
      <c r="AA580" s="50">
        <v>6.14</v>
      </c>
      <c r="AB580" s="50"/>
      <c r="AC580" s="50"/>
      <c r="AD580" s="50"/>
      <c r="AE580" s="50"/>
      <c r="AF580" s="50"/>
      <c r="AG580" s="50"/>
      <c r="AH580" s="50"/>
      <c r="AI580" s="50"/>
      <c r="AJ580" s="50"/>
    </row>
    <row r="581" spans="1:36" ht="15" customHeight="1" x14ac:dyDescent="0.25">
      <c r="A581" s="50">
        <v>116</v>
      </c>
      <c r="B581" s="50" t="s">
        <v>925</v>
      </c>
      <c r="C581" s="50" t="s">
        <v>1352</v>
      </c>
      <c r="D581" s="50">
        <v>48</v>
      </c>
      <c r="E581" s="50" t="s">
        <v>1360</v>
      </c>
      <c r="F581" s="50">
        <v>21</v>
      </c>
      <c r="G581" s="50">
        <v>2.6</v>
      </c>
      <c r="H581" s="50">
        <v>19</v>
      </c>
      <c r="I581" s="50">
        <v>1.78</v>
      </c>
      <c r="J581" s="50">
        <v>121</v>
      </c>
      <c r="K581" s="50">
        <v>55</v>
      </c>
      <c r="L581" s="50">
        <v>2.4500000000000002</v>
      </c>
      <c r="M581" s="50">
        <v>2.69</v>
      </c>
      <c r="N581" s="50">
        <v>31</v>
      </c>
      <c r="O581" s="50">
        <v>9.1</v>
      </c>
      <c r="P581" s="50">
        <v>7.1</v>
      </c>
      <c r="Q581" s="50">
        <v>37.299999999999997</v>
      </c>
      <c r="R581" s="50">
        <v>58.8</v>
      </c>
      <c r="S581" s="50">
        <v>39.4</v>
      </c>
      <c r="T581" s="50">
        <v>69</v>
      </c>
      <c r="U581" s="50">
        <v>3.64</v>
      </c>
      <c r="V581" s="50">
        <v>69.400000000000006</v>
      </c>
      <c r="W581" s="50">
        <v>69</v>
      </c>
      <c r="X581" s="50">
        <v>435</v>
      </c>
      <c r="Y581" s="50">
        <v>9.39</v>
      </c>
      <c r="Z581" s="50">
        <v>42</v>
      </c>
      <c r="AA581" s="50">
        <v>6.51</v>
      </c>
      <c r="AB581" s="50"/>
      <c r="AC581" s="50"/>
      <c r="AD581" s="50"/>
      <c r="AE581" s="50"/>
      <c r="AF581" s="50"/>
      <c r="AG581" s="50"/>
      <c r="AH581" s="50"/>
      <c r="AI581" s="50"/>
      <c r="AJ581" s="50"/>
    </row>
    <row r="582" spans="1:36" ht="15" customHeight="1" x14ac:dyDescent="0.25">
      <c r="A582" s="50">
        <v>117</v>
      </c>
      <c r="B582" s="50" t="s">
        <v>925</v>
      </c>
      <c r="C582" s="50" t="s">
        <v>1352</v>
      </c>
      <c r="D582" s="50">
        <v>42</v>
      </c>
      <c r="E582" s="50" t="s">
        <v>1355</v>
      </c>
      <c r="F582" s="50">
        <v>0</v>
      </c>
      <c r="G582" s="50">
        <v>7.1</v>
      </c>
      <c r="H582" s="50">
        <v>47</v>
      </c>
      <c r="I582" s="50">
        <v>3.64</v>
      </c>
      <c r="J582" s="50">
        <v>84</v>
      </c>
      <c r="K582" s="50">
        <v>100</v>
      </c>
      <c r="L582" s="50">
        <v>7.84</v>
      </c>
      <c r="M582" s="50">
        <v>7.4</v>
      </c>
      <c r="N582" s="50">
        <v>47</v>
      </c>
      <c r="O582" s="50">
        <v>14.5</v>
      </c>
      <c r="P582" s="50">
        <v>10.8</v>
      </c>
      <c r="Q582" s="50">
        <v>36.1</v>
      </c>
      <c r="R582" s="50">
        <v>30.4</v>
      </c>
      <c r="S582" s="50">
        <v>20.7</v>
      </c>
      <c r="T582" s="50">
        <v>45</v>
      </c>
      <c r="U582" s="50">
        <v>10.11</v>
      </c>
      <c r="V582" s="50">
        <v>52.9</v>
      </c>
      <c r="W582" s="50">
        <v>43</v>
      </c>
      <c r="X582" s="50">
        <v>412</v>
      </c>
      <c r="Y582" s="50">
        <v>14.14</v>
      </c>
      <c r="Z582" s="50">
        <v>24.6</v>
      </c>
      <c r="AA582" s="50">
        <v>4.5599999999999996</v>
      </c>
      <c r="AB582" s="50"/>
      <c r="AC582" s="50"/>
      <c r="AD582" s="50"/>
      <c r="AE582" s="50"/>
      <c r="AF582" s="50"/>
      <c r="AG582" s="50"/>
      <c r="AH582" s="50"/>
      <c r="AI582" s="50"/>
      <c r="AJ582" s="50"/>
    </row>
    <row r="583" spans="1:36" ht="15" customHeight="1" x14ac:dyDescent="0.25">
      <c r="A583" s="50">
        <v>117</v>
      </c>
      <c r="B583" s="50" t="s">
        <v>925</v>
      </c>
      <c r="C583" s="50" t="s">
        <v>1352</v>
      </c>
      <c r="D583" s="50">
        <v>42</v>
      </c>
      <c r="E583" s="50" t="s">
        <v>1355</v>
      </c>
      <c r="F583" s="50">
        <v>4</v>
      </c>
      <c r="G583" s="50">
        <v>6.4</v>
      </c>
      <c r="H583" s="50">
        <v>43</v>
      </c>
      <c r="I583" s="50">
        <v>3.24</v>
      </c>
      <c r="J583" s="50">
        <v>92</v>
      </c>
      <c r="K583" s="50">
        <v>91</v>
      </c>
      <c r="L583" s="50">
        <v>7.13</v>
      </c>
      <c r="M583" s="50">
        <v>6.98</v>
      </c>
      <c r="N583" s="50">
        <v>42</v>
      </c>
      <c r="O583" s="50">
        <v>12.6</v>
      </c>
      <c r="P583" s="50">
        <v>9.1999999999999993</v>
      </c>
      <c r="Q583" s="50">
        <v>34.4</v>
      </c>
      <c r="R583" s="50">
        <v>33.5</v>
      </c>
      <c r="S583" s="50">
        <v>23.5</v>
      </c>
      <c r="T583" s="50">
        <v>49</v>
      </c>
      <c r="U583" s="50">
        <v>9.32</v>
      </c>
      <c r="V583" s="50">
        <v>52.7</v>
      </c>
      <c r="W583" s="50">
        <v>46</v>
      </c>
      <c r="X583" s="50">
        <v>421</v>
      </c>
      <c r="Y583" s="50">
        <v>14.13</v>
      </c>
      <c r="Z583" s="50">
        <v>24.5</v>
      </c>
      <c r="AA583" s="50">
        <v>4.79</v>
      </c>
      <c r="AB583" s="50"/>
      <c r="AC583" s="50"/>
      <c r="AD583" s="50"/>
      <c r="AE583" s="50"/>
      <c r="AF583" s="50"/>
      <c r="AG583" s="50"/>
      <c r="AH583" s="50"/>
      <c r="AI583" s="50"/>
      <c r="AJ583" s="50"/>
    </row>
    <row r="584" spans="1:36" ht="15" customHeight="1" x14ac:dyDescent="0.25">
      <c r="A584" s="50">
        <v>117</v>
      </c>
      <c r="B584" s="50" t="s">
        <v>925</v>
      </c>
      <c r="C584" s="50" t="s">
        <v>1352</v>
      </c>
      <c r="D584" s="50">
        <v>42</v>
      </c>
      <c r="E584" s="50" t="s">
        <v>1355</v>
      </c>
      <c r="F584" s="50">
        <v>8</v>
      </c>
      <c r="G584" s="50">
        <v>5.6</v>
      </c>
      <c r="H584" s="50">
        <v>39</v>
      </c>
      <c r="I584" s="50">
        <v>2.96</v>
      </c>
      <c r="J584" s="50">
        <v>92</v>
      </c>
      <c r="K584" s="50">
        <v>83</v>
      </c>
      <c r="L584" s="50">
        <v>6.18</v>
      </c>
      <c r="M584" s="50">
        <v>6.36</v>
      </c>
      <c r="N584" s="50">
        <v>41</v>
      </c>
      <c r="O584" s="50">
        <v>13</v>
      </c>
      <c r="P584" s="50">
        <v>9.1</v>
      </c>
      <c r="Q584" s="50">
        <v>30.8</v>
      </c>
      <c r="R584" s="50">
        <v>41.5</v>
      </c>
      <c r="S584" s="50">
        <v>27.1</v>
      </c>
      <c r="T584" s="50">
        <v>52</v>
      </c>
      <c r="U584" s="50">
        <v>8.17</v>
      </c>
      <c r="V584" s="50">
        <v>55</v>
      </c>
      <c r="W584" s="50">
        <v>49</v>
      </c>
      <c r="X584" s="50">
        <v>434</v>
      </c>
      <c r="Y584" s="50">
        <v>12.42</v>
      </c>
      <c r="Z584" s="50">
        <v>29.6</v>
      </c>
      <c r="AA584" s="50">
        <v>4.82</v>
      </c>
      <c r="AB584" s="50"/>
      <c r="AC584" s="50"/>
      <c r="AD584" s="50"/>
      <c r="AE584" s="50"/>
      <c r="AF584" s="50"/>
      <c r="AG584" s="50"/>
      <c r="AH584" s="50"/>
      <c r="AI584" s="50"/>
      <c r="AJ584" s="50"/>
    </row>
    <row r="585" spans="1:36" ht="15" customHeight="1" x14ac:dyDescent="0.25">
      <c r="A585" s="50">
        <v>117</v>
      </c>
      <c r="B585" s="50" t="s">
        <v>925</v>
      </c>
      <c r="C585" s="50" t="s">
        <v>1352</v>
      </c>
      <c r="D585" s="50">
        <v>42</v>
      </c>
      <c r="E585" s="50" t="s">
        <v>1355</v>
      </c>
      <c r="F585" s="50">
        <v>12</v>
      </c>
      <c r="G585" s="50">
        <v>4.8</v>
      </c>
      <c r="H585" s="50">
        <v>39</v>
      </c>
      <c r="I585" s="50">
        <v>2.5099999999999998</v>
      </c>
      <c r="J585" s="50">
        <v>98</v>
      </c>
      <c r="K585" s="50">
        <v>74</v>
      </c>
      <c r="L585" s="50">
        <v>5.09</v>
      </c>
      <c r="M585" s="50">
        <v>5.79</v>
      </c>
      <c r="N585" s="50">
        <v>36</v>
      </c>
      <c r="O585" s="50">
        <v>11.4</v>
      </c>
      <c r="P585" s="50">
        <v>9.4</v>
      </c>
      <c r="Q585" s="50">
        <v>29.7</v>
      </c>
      <c r="R585" s="50">
        <v>42.2</v>
      </c>
      <c r="S585" s="50">
        <v>27.7</v>
      </c>
      <c r="T585" s="50">
        <v>55</v>
      </c>
      <c r="U585" s="50">
        <v>7.72</v>
      </c>
      <c r="V585" s="50">
        <v>56.2</v>
      </c>
      <c r="W585" s="50">
        <v>54</v>
      </c>
      <c r="X585" s="50">
        <v>459</v>
      </c>
      <c r="Y585" s="50">
        <v>11.93</v>
      </c>
      <c r="Z585" s="50">
        <v>29.9</v>
      </c>
      <c r="AA585" s="50">
        <v>5.13</v>
      </c>
      <c r="AB585" s="50"/>
      <c r="AC585" s="50"/>
      <c r="AD585" s="50"/>
      <c r="AE585" s="50"/>
      <c r="AF585" s="50"/>
      <c r="AG585" s="50"/>
      <c r="AH585" s="50"/>
      <c r="AI585" s="50"/>
      <c r="AJ585" s="50"/>
    </row>
    <row r="586" spans="1:36" ht="15" customHeight="1" x14ac:dyDescent="0.25">
      <c r="A586" s="50">
        <v>117</v>
      </c>
      <c r="B586" s="50" t="s">
        <v>925</v>
      </c>
      <c r="C586" s="50" t="s">
        <v>1352</v>
      </c>
      <c r="D586" s="50">
        <v>42</v>
      </c>
      <c r="E586" s="50" t="s">
        <v>1355</v>
      </c>
      <c r="F586" s="50">
        <v>21</v>
      </c>
      <c r="G586" s="50">
        <v>3</v>
      </c>
      <c r="H586" s="50">
        <v>30</v>
      </c>
      <c r="I586" s="50">
        <v>1.77</v>
      </c>
      <c r="J586" s="50">
        <v>106</v>
      </c>
      <c r="K586" s="50">
        <v>55</v>
      </c>
      <c r="L586" s="50">
        <v>3.46</v>
      </c>
      <c r="M586" s="50">
        <v>4.67</v>
      </c>
      <c r="N586" s="50">
        <v>30</v>
      </c>
      <c r="O586" s="50">
        <v>10.3</v>
      </c>
      <c r="P586" s="50">
        <v>7.2</v>
      </c>
      <c r="Q586" s="50">
        <v>26.8</v>
      </c>
      <c r="R586" s="50">
        <v>62</v>
      </c>
      <c r="S586" s="50">
        <v>37.6</v>
      </c>
      <c r="T586" s="50">
        <v>63</v>
      </c>
      <c r="U586" s="50">
        <v>6.49</v>
      </c>
      <c r="V586" s="50">
        <v>63.3</v>
      </c>
      <c r="W586" s="50">
        <v>61</v>
      </c>
      <c r="X586" s="50">
        <v>480</v>
      </c>
      <c r="Y586" s="50">
        <v>9.35</v>
      </c>
      <c r="Z586" s="50">
        <v>37</v>
      </c>
      <c r="AA586" s="50">
        <v>5.74</v>
      </c>
      <c r="AB586" s="50"/>
      <c r="AC586" s="50"/>
      <c r="AD586" s="50"/>
      <c r="AE586" s="50"/>
      <c r="AF586" s="50"/>
      <c r="AG586" s="50"/>
      <c r="AH586" s="50"/>
      <c r="AI586" s="50"/>
      <c r="AJ586" s="50"/>
    </row>
    <row r="587" spans="1:36" ht="15" customHeight="1" x14ac:dyDescent="0.25">
      <c r="A587" s="50">
        <v>118</v>
      </c>
      <c r="B587" s="50" t="s">
        <v>925</v>
      </c>
      <c r="C587" s="50" t="s">
        <v>1357</v>
      </c>
      <c r="D587" s="50">
        <v>48</v>
      </c>
      <c r="E587" s="50" t="s">
        <v>1355</v>
      </c>
      <c r="F587" s="50">
        <v>0</v>
      </c>
      <c r="G587" s="50">
        <v>6.8</v>
      </c>
      <c r="H587" s="50">
        <v>40</v>
      </c>
      <c r="I587" s="50">
        <v>3.62</v>
      </c>
      <c r="J587" s="50">
        <v>86</v>
      </c>
      <c r="K587" s="50">
        <v>100</v>
      </c>
      <c r="L587" s="50">
        <v>7.1</v>
      </c>
      <c r="M587" s="50">
        <v>5.56</v>
      </c>
      <c r="N587" s="50">
        <v>49</v>
      </c>
      <c r="O587" s="50">
        <v>11.8</v>
      </c>
      <c r="P587" s="50">
        <v>12.2</v>
      </c>
      <c r="Q587" s="50">
        <v>55.8</v>
      </c>
      <c r="R587" s="50">
        <v>41.2</v>
      </c>
      <c r="S587" s="50">
        <v>25.4</v>
      </c>
      <c r="T587" s="50">
        <v>45</v>
      </c>
      <c r="U587" s="50">
        <v>14.5</v>
      </c>
      <c r="V587" s="50">
        <v>57.3</v>
      </c>
      <c r="W587" s="50">
        <v>41</v>
      </c>
      <c r="X587" s="50">
        <v>414</v>
      </c>
      <c r="Y587" s="50">
        <v>14</v>
      </c>
      <c r="Z587" s="50">
        <v>22.8</v>
      </c>
      <c r="AA587" s="50">
        <v>4.76</v>
      </c>
      <c r="AB587" s="50"/>
      <c r="AC587" s="50"/>
      <c r="AD587" s="50"/>
      <c r="AE587" s="50"/>
      <c r="AF587" s="50"/>
      <c r="AG587" s="50"/>
      <c r="AH587" s="50"/>
      <c r="AI587" s="50"/>
      <c r="AJ587" s="50"/>
    </row>
    <row r="588" spans="1:36" ht="15" customHeight="1" x14ac:dyDescent="0.25">
      <c r="A588" s="50">
        <v>118</v>
      </c>
      <c r="B588" s="50" t="s">
        <v>925</v>
      </c>
      <c r="C588" s="50" t="s">
        <v>1357</v>
      </c>
      <c r="D588" s="50">
        <v>48</v>
      </c>
      <c r="E588" s="50" t="s">
        <v>1355</v>
      </c>
      <c r="F588" s="50">
        <v>4</v>
      </c>
      <c r="G588" s="50">
        <v>5.7</v>
      </c>
      <c r="H588" s="50">
        <v>38</v>
      </c>
      <c r="I588" s="50">
        <v>3.31</v>
      </c>
      <c r="J588" s="50">
        <v>93</v>
      </c>
      <c r="K588" s="50">
        <v>91</v>
      </c>
      <c r="L588" s="50">
        <v>6.22</v>
      </c>
      <c r="M588" s="50">
        <v>4.97</v>
      </c>
      <c r="N588" s="50">
        <v>46</v>
      </c>
      <c r="O588" s="50">
        <v>11.4</v>
      </c>
      <c r="P588" s="50">
        <v>11.6</v>
      </c>
      <c r="Q588" s="50">
        <v>48.6</v>
      </c>
      <c r="R588" s="50">
        <v>45.1</v>
      </c>
      <c r="S588" s="50">
        <v>29.1</v>
      </c>
      <c r="T588" s="50">
        <v>50</v>
      </c>
      <c r="U588" s="50">
        <v>13.37</v>
      </c>
      <c r="V588" s="50">
        <v>60.1</v>
      </c>
      <c r="W588" s="50">
        <v>47</v>
      </c>
      <c r="X588" s="50">
        <v>447</v>
      </c>
      <c r="Y588" s="50">
        <v>13.55</v>
      </c>
      <c r="Z588" s="50">
        <v>25.2</v>
      </c>
      <c r="AA588" s="50">
        <v>5.21</v>
      </c>
      <c r="AB588" s="50"/>
      <c r="AC588" s="50"/>
      <c r="AD588" s="50"/>
      <c r="AE588" s="50"/>
      <c r="AF588" s="50"/>
      <c r="AG588" s="50"/>
      <c r="AH588" s="50"/>
      <c r="AI588" s="50"/>
      <c r="AJ588" s="50"/>
    </row>
    <row r="589" spans="1:36" ht="15" customHeight="1" x14ac:dyDescent="0.25">
      <c r="A589" s="50">
        <v>118</v>
      </c>
      <c r="B589" s="50" t="s">
        <v>925</v>
      </c>
      <c r="C589" s="50" t="s">
        <v>1357</v>
      </c>
      <c r="D589" s="50">
        <v>48</v>
      </c>
      <c r="E589" s="50" t="s">
        <v>1355</v>
      </c>
      <c r="F589" s="50">
        <v>8</v>
      </c>
      <c r="G589" s="50">
        <v>5.0999999999999996</v>
      </c>
      <c r="H589" s="50">
        <v>35</v>
      </c>
      <c r="I589" s="50">
        <v>2.93</v>
      </c>
      <c r="J589" s="50">
        <v>96</v>
      </c>
      <c r="K589" s="50">
        <v>83</v>
      </c>
      <c r="L589" s="50">
        <v>5.01</v>
      </c>
      <c r="M589" s="50">
        <v>4.28</v>
      </c>
      <c r="N589" s="50">
        <v>43</v>
      </c>
      <c r="O589" s="50">
        <v>9.8000000000000007</v>
      </c>
      <c r="P589" s="50">
        <v>11.3</v>
      </c>
      <c r="Q589" s="50">
        <v>43.2</v>
      </c>
      <c r="R589" s="50">
        <v>48.6</v>
      </c>
      <c r="S589" s="50">
        <v>30.8</v>
      </c>
      <c r="T589" s="50">
        <v>55</v>
      </c>
      <c r="U589" s="50">
        <v>11.61</v>
      </c>
      <c r="V589" s="50">
        <v>61.8</v>
      </c>
      <c r="W589" s="50">
        <v>53</v>
      </c>
      <c r="X589" s="50">
        <v>442</v>
      </c>
      <c r="Y589" s="50">
        <v>12.46</v>
      </c>
      <c r="Z589" s="50">
        <v>28.7</v>
      </c>
      <c r="AA589" s="50">
        <v>5.2</v>
      </c>
      <c r="AB589" s="50"/>
      <c r="AC589" s="50"/>
      <c r="AD589" s="50"/>
      <c r="AE589" s="50"/>
      <c r="AF589" s="50"/>
      <c r="AG589" s="50"/>
      <c r="AH589" s="50"/>
      <c r="AI589" s="50"/>
      <c r="AJ589" s="50"/>
    </row>
    <row r="590" spans="1:36" ht="15" customHeight="1" x14ac:dyDescent="0.25">
      <c r="A590" s="50">
        <v>118</v>
      </c>
      <c r="B590" s="50" t="s">
        <v>925</v>
      </c>
      <c r="C590" s="50" t="s">
        <v>1357</v>
      </c>
      <c r="D590" s="50">
        <v>48</v>
      </c>
      <c r="E590" s="50" t="s">
        <v>1355</v>
      </c>
      <c r="F590" s="50">
        <v>12</v>
      </c>
      <c r="G590" s="50">
        <v>4.4000000000000004</v>
      </c>
      <c r="H590" s="50">
        <v>28</v>
      </c>
      <c r="I590" s="50">
        <v>2.67</v>
      </c>
      <c r="J590" s="50">
        <v>104</v>
      </c>
      <c r="K590" s="50">
        <v>74</v>
      </c>
      <c r="L590" s="50">
        <v>4.46</v>
      </c>
      <c r="M590" s="50">
        <v>4.42</v>
      </c>
      <c r="N590" s="50">
        <v>41</v>
      </c>
      <c r="O590" s="50">
        <v>9.3000000000000007</v>
      </c>
      <c r="P590" s="50">
        <v>9.6</v>
      </c>
      <c r="Q590" s="50">
        <v>40.799999999999997</v>
      </c>
      <c r="R590" s="50">
        <v>52.6</v>
      </c>
      <c r="S590" s="50">
        <v>33.6</v>
      </c>
      <c r="T590" s="50">
        <v>58</v>
      </c>
      <c r="U590" s="50">
        <v>8.73</v>
      </c>
      <c r="V590" s="50">
        <v>65.8</v>
      </c>
      <c r="W590" s="50">
        <v>59</v>
      </c>
      <c r="X590" s="50">
        <v>466</v>
      </c>
      <c r="Y590" s="50">
        <v>12.14</v>
      </c>
      <c r="Z590" s="50">
        <v>29.5</v>
      </c>
      <c r="AA590" s="50">
        <v>5.68</v>
      </c>
      <c r="AB590" s="50"/>
      <c r="AC590" s="50"/>
      <c r="AD590" s="50"/>
      <c r="AE590" s="50"/>
      <c r="AF590" s="50"/>
      <c r="AG590" s="50"/>
      <c r="AH590" s="50"/>
      <c r="AI590" s="50"/>
      <c r="AJ590" s="50"/>
    </row>
    <row r="591" spans="1:36" ht="15" customHeight="1" x14ac:dyDescent="0.25">
      <c r="A591" s="50">
        <v>118</v>
      </c>
      <c r="B591" s="50" t="s">
        <v>925</v>
      </c>
      <c r="C591" s="50" t="s">
        <v>1357</v>
      </c>
      <c r="D591" s="50">
        <v>48</v>
      </c>
      <c r="E591" s="50" t="s">
        <v>1355</v>
      </c>
      <c r="F591" s="50">
        <v>21</v>
      </c>
      <c r="G591" s="50">
        <v>2.8</v>
      </c>
      <c r="H591" s="50">
        <v>21</v>
      </c>
      <c r="I591" s="50">
        <v>1.83</v>
      </c>
      <c r="J591" s="50">
        <v>111</v>
      </c>
      <c r="K591" s="50">
        <v>55</v>
      </c>
      <c r="L591" s="50">
        <v>2.58</v>
      </c>
      <c r="M591" s="50">
        <v>2.85</v>
      </c>
      <c r="N591" s="50">
        <v>31</v>
      </c>
      <c r="O591" s="50">
        <v>7.8</v>
      </c>
      <c r="P591" s="50">
        <v>9.1</v>
      </c>
      <c r="Q591" s="50">
        <v>34</v>
      </c>
      <c r="R591" s="50">
        <v>59.7</v>
      </c>
      <c r="S591" s="50">
        <v>37.9</v>
      </c>
      <c r="T591" s="50">
        <v>62</v>
      </c>
      <c r="U591" s="50">
        <v>8.06</v>
      </c>
      <c r="V591" s="50">
        <v>70</v>
      </c>
      <c r="W591" s="50">
        <v>71</v>
      </c>
      <c r="X591" s="50">
        <v>511</v>
      </c>
      <c r="Y591" s="50">
        <v>10.25</v>
      </c>
      <c r="Z591" s="50">
        <v>32.1</v>
      </c>
      <c r="AA591" s="50">
        <v>6.36</v>
      </c>
      <c r="AB591" s="50"/>
      <c r="AC591" s="50"/>
      <c r="AD591" s="50"/>
      <c r="AE591" s="50"/>
      <c r="AF591" s="50"/>
      <c r="AG591" s="50"/>
      <c r="AH591" s="50"/>
      <c r="AI591" s="50"/>
      <c r="AJ591" s="50"/>
    </row>
    <row r="592" spans="1:36" ht="15" customHeight="1" x14ac:dyDescent="0.25">
      <c r="A592" s="50">
        <v>119</v>
      </c>
      <c r="B592" s="50" t="s">
        <v>925</v>
      </c>
      <c r="C592" s="50" t="s">
        <v>1357</v>
      </c>
      <c r="D592" s="50">
        <v>38</v>
      </c>
      <c r="E592" s="50" t="s">
        <v>1360</v>
      </c>
      <c r="F592" s="50">
        <v>0</v>
      </c>
      <c r="G592" s="50">
        <v>6.5</v>
      </c>
      <c r="H592" s="50">
        <v>62</v>
      </c>
      <c r="I592" s="50">
        <v>3.56</v>
      </c>
      <c r="J592" s="50">
        <v>95</v>
      </c>
      <c r="K592" s="50">
        <v>100</v>
      </c>
      <c r="L592" s="50">
        <v>7.86</v>
      </c>
      <c r="M592" s="50">
        <v>8.0500000000000007</v>
      </c>
      <c r="N592" s="50">
        <v>49</v>
      </c>
      <c r="O592" s="50">
        <v>14</v>
      </c>
      <c r="P592" s="50">
        <v>10.1</v>
      </c>
      <c r="Q592" s="50">
        <v>50.5</v>
      </c>
      <c r="R592" s="50">
        <v>36.5</v>
      </c>
      <c r="S592" s="50">
        <v>17.3</v>
      </c>
      <c r="T592" s="50">
        <v>54</v>
      </c>
      <c r="U592" s="50">
        <v>9.06</v>
      </c>
      <c r="V592" s="50">
        <v>64.2</v>
      </c>
      <c r="W592" s="50">
        <v>57</v>
      </c>
      <c r="X592" s="50">
        <v>341</v>
      </c>
      <c r="Y592" s="50">
        <v>8.2200000000000006</v>
      </c>
      <c r="Z592" s="50">
        <v>23.6</v>
      </c>
      <c r="AA592" s="50">
        <v>5.26</v>
      </c>
      <c r="AB592" s="50"/>
      <c r="AC592" s="50"/>
      <c r="AD592" s="50"/>
      <c r="AE592" s="50"/>
      <c r="AF592" s="50"/>
      <c r="AG592" s="50"/>
      <c r="AH592" s="50"/>
      <c r="AI592" s="50"/>
      <c r="AJ592" s="50"/>
    </row>
    <row r="593" spans="1:36" ht="15" customHeight="1" x14ac:dyDescent="0.25">
      <c r="A593" s="50">
        <v>119</v>
      </c>
      <c r="B593" s="50" t="s">
        <v>925</v>
      </c>
      <c r="C593" s="50" t="s">
        <v>1357</v>
      </c>
      <c r="D593" s="50">
        <v>38</v>
      </c>
      <c r="E593" s="50" t="s">
        <v>1360</v>
      </c>
      <c r="F593" s="50">
        <v>4</v>
      </c>
      <c r="G593" s="50">
        <v>5.8</v>
      </c>
      <c r="H593" s="50">
        <v>56</v>
      </c>
      <c r="I593" s="50">
        <v>3.2</v>
      </c>
      <c r="J593" s="50">
        <v>99</v>
      </c>
      <c r="K593" s="50">
        <v>91</v>
      </c>
      <c r="L593" s="50">
        <v>6.98</v>
      </c>
      <c r="M593" s="50">
        <v>7.17</v>
      </c>
      <c r="N593" s="50">
        <v>46</v>
      </c>
      <c r="O593" s="50">
        <v>12.2</v>
      </c>
      <c r="P593" s="50">
        <v>9.3000000000000007</v>
      </c>
      <c r="Q593" s="50">
        <v>45.9</v>
      </c>
      <c r="R593" s="50">
        <v>38.5</v>
      </c>
      <c r="S593" s="50">
        <v>17.7</v>
      </c>
      <c r="T593" s="50">
        <v>59</v>
      </c>
      <c r="U593" s="50">
        <v>8.8699999999999992</v>
      </c>
      <c r="V593" s="50">
        <v>64.7</v>
      </c>
      <c r="W593" s="50">
        <v>56</v>
      </c>
      <c r="X593" s="50">
        <v>374</v>
      </c>
      <c r="Y593" s="50">
        <v>8.65</v>
      </c>
      <c r="Z593" s="50">
        <v>26.9</v>
      </c>
      <c r="AA593" s="50">
        <v>5.46</v>
      </c>
      <c r="AB593" s="50"/>
      <c r="AC593" s="50"/>
      <c r="AD593" s="50"/>
      <c r="AE593" s="50"/>
      <c r="AF593" s="50"/>
      <c r="AG593" s="50"/>
      <c r="AH593" s="50"/>
      <c r="AI593" s="50"/>
      <c r="AJ593" s="50"/>
    </row>
    <row r="594" spans="1:36" ht="15" customHeight="1" x14ac:dyDescent="0.25">
      <c r="A594" s="50">
        <v>119</v>
      </c>
      <c r="B594" s="50" t="s">
        <v>925</v>
      </c>
      <c r="C594" s="50" t="s">
        <v>1357</v>
      </c>
      <c r="D594" s="50">
        <v>38</v>
      </c>
      <c r="E594" s="50" t="s">
        <v>1360</v>
      </c>
      <c r="F594" s="50">
        <v>8</v>
      </c>
      <c r="G594" s="50">
        <v>5.0999999999999996</v>
      </c>
      <c r="H594" s="50">
        <v>54</v>
      </c>
      <c r="I594" s="50">
        <v>2.91</v>
      </c>
      <c r="J594" s="50">
        <v>104</v>
      </c>
      <c r="K594" s="50">
        <v>83</v>
      </c>
      <c r="L594" s="50">
        <v>6.31</v>
      </c>
      <c r="M594" s="50">
        <v>6.14</v>
      </c>
      <c r="N594" s="50">
        <v>44</v>
      </c>
      <c r="O594" s="50">
        <v>12.2</v>
      </c>
      <c r="P594" s="50">
        <v>9.1999999999999993</v>
      </c>
      <c r="Q594" s="50">
        <v>43.5</v>
      </c>
      <c r="R594" s="50">
        <v>48.4</v>
      </c>
      <c r="S594" s="50">
        <v>25</v>
      </c>
      <c r="T594" s="50">
        <v>64</v>
      </c>
      <c r="U594" s="50">
        <v>8.6199999999999992</v>
      </c>
      <c r="V594" s="50">
        <v>65.5</v>
      </c>
      <c r="W594" s="50">
        <v>59</v>
      </c>
      <c r="X594" s="50">
        <v>418</v>
      </c>
      <c r="Y594" s="50">
        <v>7.66</v>
      </c>
      <c r="Z594" s="50">
        <v>29.3</v>
      </c>
      <c r="AA594" s="50">
        <v>5.77</v>
      </c>
      <c r="AB594" s="50"/>
      <c r="AC594" s="50"/>
      <c r="AD594" s="50"/>
      <c r="AE594" s="50"/>
      <c r="AF594" s="50"/>
      <c r="AG594" s="50"/>
      <c r="AH594" s="50"/>
      <c r="AI594" s="50"/>
      <c r="AJ594" s="50"/>
    </row>
    <row r="595" spans="1:36" ht="15" customHeight="1" x14ac:dyDescent="0.25">
      <c r="A595" s="50">
        <v>119</v>
      </c>
      <c r="B595" s="50" t="s">
        <v>925</v>
      </c>
      <c r="C595" s="50" t="s">
        <v>1357</v>
      </c>
      <c r="D595" s="50">
        <v>38</v>
      </c>
      <c r="E595" s="50" t="s">
        <v>1360</v>
      </c>
      <c r="F595" s="50">
        <v>12</v>
      </c>
      <c r="G595" s="50">
        <v>4.5999999999999996</v>
      </c>
      <c r="H595" s="50">
        <v>52</v>
      </c>
      <c r="I595" s="50">
        <v>2.57</v>
      </c>
      <c r="J595" s="50">
        <v>110</v>
      </c>
      <c r="K595" s="50">
        <v>74</v>
      </c>
      <c r="L595" s="50">
        <v>5.55</v>
      </c>
      <c r="M595" s="50">
        <v>5.65</v>
      </c>
      <c r="N595" s="50">
        <v>42</v>
      </c>
      <c r="O595" s="50">
        <v>11.6</v>
      </c>
      <c r="P595" s="50">
        <v>9.6999999999999993</v>
      </c>
      <c r="Q595" s="50">
        <v>41.3</v>
      </c>
      <c r="R595" s="50">
        <v>51.8</v>
      </c>
      <c r="S595" s="50">
        <v>23.3</v>
      </c>
      <c r="T595" s="50">
        <v>64</v>
      </c>
      <c r="U595" s="50">
        <v>8.41</v>
      </c>
      <c r="V595" s="50">
        <v>66.900000000000006</v>
      </c>
      <c r="W595" s="50">
        <v>63</v>
      </c>
      <c r="X595" s="50">
        <v>432</v>
      </c>
      <c r="Y595" s="50">
        <v>8.8699999999999992</v>
      </c>
      <c r="Z595" s="50">
        <v>33</v>
      </c>
      <c r="AA595" s="50">
        <v>6.25</v>
      </c>
      <c r="AB595" s="50"/>
      <c r="AC595" s="50"/>
      <c r="AD595" s="50"/>
      <c r="AE595" s="50"/>
      <c r="AF595" s="50"/>
      <c r="AG595" s="50"/>
      <c r="AH595" s="50"/>
      <c r="AI595" s="50"/>
      <c r="AJ595" s="50"/>
    </row>
    <row r="596" spans="1:36" ht="15" customHeight="1" x14ac:dyDescent="0.25">
      <c r="A596" s="50">
        <v>119</v>
      </c>
      <c r="B596" s="50" t="s">
        <v>925</v>
      </c>
      <c r="C596" s="50" t="s">
        <v>1357</v>
      </c>
      <c r="D596" s="50">
        <v>38</v>
      </c>
      <c r="E596" s="50" t="s">
        <v>1360</v>
      </c>
      <c r="F596" s="50">
        <v>21</v>
      </c>
      <c r="G596" s="50">
        <v>2.7</v>
      </c>
      <c r="H596" s="50">
        <v>40</v>
      </c>
      <c r="I596" s="50">
        <v>1.83</v>
      </c>
      <c r="J596" s="50">
        <v>121</v>
      </c>
      <c r="K596" s="50">
        <v>55</v>
      </c>
      <c r="L596" s="50">
        <v>3.47</v>
      </c>
      <c r="M596" s="50">
        <v>3.38</v>
      </c>
      <c r="N596" s="50">
        <v>34</v>
      </c>
      <c r="O596" s="50">
        <v>9.6999999999999993</v>
      </c>
      <c r="P596" s="50">
        <v>8.8000000000000007</v>
      </c>
      <c r="Q596" s="50">
        <v>33.1</v>
      </c>
      <c r="R596" s="50">
        <v>67</v>
      </c>
      <c r="S596" s="50">
        <v>33.299999999999997</v>
      </c>
      <c r="T596" s="50">
        <v>74</v>
      </c>
      <c r="U596" s="50">
        <v>7.38</v>
      </c>
      <c r="V596" s="50">
        <v>70.900000000000006</v>
      </c>
      <c r="W596" s="50">
        <v>74</v>
      </c>
      <c r="X596" s="50">
        <v>526</v>
      </c>
      <c r="Y596" s="50">
        <v>8.27</v>
      </c>
      <c r="Z596" s="50">
        <v>38.799999999999997</v>
      </c>
      <c r="AA596" s="50">
        <v>6.68</v>
      </c>
      <c r="AB596" s="50"/>
      <c r="AC596" s="50"/>
      <c r="AD596" s="50"/>
      <c r="AE596" s="50"/>
      <c r="AF596" s="50"/>
      <c r="AG596" s="50"/>
      <c r="AH596" s="50"/>
      <c r="AI596" s="50"/>
      <c r="AJ596" s="50"/>
    </row>
    <row r="597" spans="1:36" ht="15" customHeight="1" x14ac:dyDescent="0.25">
      <c r="A597" s="50">
        <v>120</v>
      </c>
      <c r="B597" s="50" t="s">
        <v>925</v>
      </c>
      <c r="C597" s="50" t="s">
        <v>1352</v>
      </c>
      <c r="D597" s="50">
        <v>24</v>
      </c>
      <c r="E597" s="50" t="s">
        <v>1355</v>
      </c>
      <c r="F597" s="50">
        <v>0</v>
      </c>
      <c r="G597" s="50">
        <v>5.9</v>
      </c>
      <c r="H597" s="50">
        <v>53</v>
      </c>
      <c r="I597" s="50">
        <v>3.5</v>
      </c>
      <c r="J597" s="50">
        <v>104</v>
      </c>
      <c r="K597" s="50">
        <v>100</v>
      </c>
      <c r="L597" s="50">
        <v>6.08</v>
      </c>
      <c r="M597" s="50">
        <v>4.7300000000000004</v>
      </c>
      <c r="N597" s="50">
        <v>38</v>
      </c>
      <c r="O597" s="50">
        <v>11.2</v>
      </c>
      <c r="P597" s="50">
        <v>9.9</v>
      </c>
      <c r="Q597" s="50">
        <v>42.4</v>
      </c>
      <c r="R597" s="50">
        <v>34.5</v>
      </c>
      <c r="S597" s="50">
        <v>18.8</v>
      </c>
      <c r="T597" s="50">
        <v>57</v>
      </c>
      <c r="U597" s="50">
        <v>12.45</v>
      </c>
      <c r="V597" s="50">
        <v>53.7</v>
      </c>
      <c r="W597" s="50">
        <v>55</v>
      </c>
      <c r="X597" s="50">
        <v>465</v>
      </c>
      <c r="Y597" s="50">
        <v>10.89</v>
      </c>
      <c r="Z597" s="50">
        <v>27.9</v>
      </c>
      <c r="AA597" s="50">
        <v>5.78</v>
      </c>
      <c r="AB597" s="50"/>
      <c r="AC597" s="50"/>
      <c r="AD597" s="50"/>
      <c r="AE597" s="50"/>
      <c r="AF597" s="50"/>
      <c r="AG597" s="50"/>
      <c r="AH597" s="50"/>
      <c r="AI597" s="50"/>
      <c r="AJ597" s="50"/>
    </row>
    <row r="598" spans="1:36" ht="15" customHeight="1" x14ac:dyDescent="0.25">
      <c r="A598" s="50">
        <v>120</v>
      </c>
      <c r="B598" s="50" t="s">
        <v>925</v>
      </c>
      <c r="C598" s="50" t="s">
        <v>1352</v>
      </c>
      <c r="D598" s="50">
        <v>24</v>
      </c>
      <c r="E598" s="50" t="s">
        <v>1355</v>
      </c>
      <c r="F598" s="50">
        <v>4</v>
      </c>
      <c r="G598" s="50">
        <v>5.3</v>
      </c>
      <c r="H598" s="50">
        <v>49</v>
      </c>
      <c r="I598" s="50">
        <v>3.09</v>
      </c>
      <c r="J598" s="50">
        <v>109</v>
      </c>
      <c r="K598" s="50">
        <v>91</v>
      </c>
      <c r="L598" s="50">
        <v>5.63</v>
      </c>
      <c r="M598" s="50">
        <v>4.37</v>
      </c>
      <c r="N598" s="50">
        <v>34</v>
      </c>
      <c r="O598" s="50">
        <v>11.3</v>
      </c>
      <c r="P598" s="50">
        <v>9.6999999999999993</v>
      </c>
      <c r="Q598" s="50">
        <v>38.200000000000003</v>
      </c>
      <c r="R598" s="50">
        <v>37.9</v>
      </c>
      <c r="S598" s="50">
        <v>22.2</v>
      </c>
      <c r="T598" s="50">
        <v>57</v>
      </c>
      <c r="U598" s="50">
        <v>10.14</v>
      </c>
      <c r="V598" s="50">
        <v>56.5</v>
      </c>
      <c r="W598" s="50">
        <v>57</v>
      </c>
      <c r="X598" s="50">
        <v>482</v>
      </c>
      <c r="Y598" s="50">
        <v>11.4</v>
      </c>
      <c r="Z598" s="50">
        <v>27.9</v>
      </c>
      <c r="AA598" s="50">
        <v>5.9</v>
      </c>
      <c r="AB598" s="50"/>
      <c r="AC598" s="50"/>
      <c r="AD598" s="50"/>
      <c r="AE598" s="50"/>
      <c r="AF598" s="50"/>
      <c r="AG598" s="50"/>
      <c r="AH598" s="50"/>
      <c r="AI598" s="50"/>
      <c r="AJ598" s="50"/>
    </row>
    <row r="599" spans="1:36" ht="15" customHeight="1" x14ac:dyDescent="0.25">
      <c r="A599" s="50">
        <v>120</v>
      </c>
      <c r="B599" s="50" t="s">
        <v>925</v>
      </c>
      <c r="C599" s="50" t="s">
        <v>1352</v>
      </c>
      <c r="D599" s="50">
        <v>24</v>
      </c>
      <c r="E599" s="50" t="s">
        <v>1355</v>
      </c>
      <c r="F599" s="50">
        <v>8</v>
      </c>
      <c r="G599" s="50">
        <v>4.9000000000000004</v>
      </c>
      <c r="H599" s="50">
        <v>46</v>
      </c>
      <c r="I599" s="50">
        <v>2.77</v>
      </c>
      <c r="J599" s="50">
        <v>113</v>
      </c>
      <c r="K599" s="50">
        <v>83</v>
      </c>
      <c r="L599" s="50">
        <v>5.23</v>
      </c>
      <c r="M599" s="50">
        <v>4</v>
      </c>
      <c r="N599" s="50">
        <v>34</v>
      </c>
      <c r="O599" s="50">
        <v>8.8000000000000007</v>
      </c>
      <c r="P599" s="50">
        <v>8.6</v>
      </c>
      <c r="Q599" s="50">
        <v>37</v>
      </c>
      <c r="R599" s="50">
        <v>38.4</v>
      </c>
      <c r="S599" s="50">
        <v>24</v>
      </c>
      <c r="T599" s="50">
        <v>60</v>
      </c>
      <c r="U599" s="50">
        <v>10.19</v>
      </c>
      <c r="V599" s="50">
        <v>58.6</v>
      </c>
      <c r="W599" s="50">
        <v>63</v>
      </c>
      <c r="X599" s="50">
        <v>482</v>
      </c>
      <c r="Y599" s="50">
        <v>10.210000000000001</v>
      </c>
      <c r="Z599" s="50">
        <v>29.9</v>
      </c>
      <c r="AA599" s="50">
        <v>6.14</v>
      </c>
      <c r="AB599" s="50"/>
      <c r="AC599" s="50"/>
      <c r="AD599" s="50"/>
      <c r="AE599" s="50"/>
      <c r="AF599" s="50"/>
      <c r="AG599" s="50"/>
      <c r="AH599" s="50"/>
      <c r="AI599" s="50"/>
      <c r="AJ599" s="50"/>
    </row>
    <row r="600" spans="1:36" ht="15" customHeight="1" x14ac:dyDescent="0.25">
      <c r="A600" s="50">
        <v>120</v>
      </c>
      <c r="B600" s="50" t="s">
        <v>925</v>
      </c>
      <c r="C600" s="50" t="s">
        <v>1352</v>
      </c>
      <c r="D600" s="50">
        <v>24</v>
      </c>
      <c r="E600" s="50" t="s">
        <v>1355</v>
      </c>
      <c r="F600" s="50">
        <v>12</v>
      </c>
      <c r="G600" s="50">
        <v>3.8</v>
      </c>
      <c r="H600" s="50">
        <v>42</v>
      </c>
      <c r="I600" s="50">
        <v>2.5099999999999998</v>
      </c>
      <c r="J600" s="50">
        <v>114</v>
      </c>
      <c r="K600" s="50">
        <v>74</v>
      </c>
      <c r="L600" s="50">
        <v>4.22</v>
      </c>
      <c r="M600" s="50">
        <v>3.72</v>
      </c>
      <c r="N600" s="50">
        <v>32</v>
      </c>
      <c r="O600" s="50">
        <v>9.5</v>
      </c>
      <c r="P600" s="50">
        <v>8.4</v>
      </c>
      <c r="Q600" s="50">
        <v>32.1</v>
      </c>
      <c r="R600" s="50">
        <v>48.9</v>
      </c>
      <c r="S600" s="50">
        <v>26.2</v>
      </c>
      <c r="T600" s="50">
        <v>66</v>
      </c>
      <c r="U600" s="50">
        <v>7.7</v>
      </c>
      <c r="V600" s="50">
        <v>61</v>
      </c>
      <c r="W600" s="50">
        <v>69</v>
      </c>
      <c r="X600" s="50">
        <v>502</v>
      </c>
      <c r="Y600" s="50">
        <v>11.27</v>
      </c>
      <c r="Z600" s="50">
        <v>32.4</v>
      </c>
      <c r="AA600" s="50">
        <v>6.34</v>
      </c>
      <c r="AB600" s="50"/>
      <c r="AC600" s="50"/>
      <c r="AD600" s="50"/>
      <c r="AE600" s="50"/>
      <c r="AF600" s="50"/>
      <c r="AG600" s="50"/>
      <c r="AH600" s="50"/>
      <c r="AI600" s="50"/>
      <c r="AJ600" s="50"/>
    </row>
    <row r="601" spans="1:36" ht="15" customHeight="1" x14ac:dyDescent="0.25">
      <c r="A601" s="50">
        <v>120</v>
      </c>
      <c r="B601" s="50" t="s">
        <v>925</v>
      </c>
      <c r="C601" s="50" t="s">
        <v>1352</v>
      </c>
      <c r="D601" s="50">
        <v>24</v>
      </c>
      <c r="E601" s="50" t="s">
        <v>1355</v>
      </c>
      <c r="F601" s="50">
        <v>21</v>
      </c>
      <c r="G601" s="50">
        <v>2.2999999999999998</v>
      </c>
      <c r="H601" s="50">
        <v>34</v>
      </c>
      <c r="I601" s="50">
        <v>1.74</v>
      </c>
      <c r="J601" s="50">
        <v>126</v>
      </c>
      <c r="K601" s="50">
        <v>55</v>
      </c>
      <c r="L601" s="50">
        <v>2.77</v>
      </c>
      <c r="M601" s="50">
        <v>2.23</v>
      </c>
      <c r="N601" s="50">
        <v>26</v>
      </c>
      <c r="O601" s="50">
        <v>7.9</v>
      </c>
      <c r="P601" s="50">
        <v>7.1</v>
      </c>
      <c r="Q601" s="50">
        <v>22.1</v>
      </c>
      <c r="R601" s="50">
        <v>56.4</v>
      </c>
      <c r="S601" s="50">
        <v>34.6</v>
      </c>
      <c r="T601" s="50">
        <v>73</v>
      </c>
      <c r="U601" s="50">
        <v>5.05</v>
      </c>
      <c r="V601" s="50">
        <v>70.400000000000006</v>
      </c>
      <c r="W601" s="50">
        <v>79</v>
      </c>
      <c r="X601" s="50">
        <v>519</v>
      </c>
      <c r="Y601" s="50">
        <v>10.039999999999999</v>
      </c>
      <c r="Z601" s="50">
        <v>39.5</v>
      </c>
      <c r="AA601" s="50">
        <v>6.6</v>
      </c>
      <c r="AB601" s="50"/>
      <c r="AC601" s="50"/>
      <c r="AD601" s="50"/>
      <c r="AE601" s="50"/>
      <c r="AF601" s="50"/>
      <c r="AG601" s="50"/>
      <c r="AH601" s="50"/>
      <c r="AI601" s="50"/>
      <c r="AJ601" s="50"/>
    </row>
    <row r="602" spans="1:36" ht="15" customHeight="1" x14ac:dyDescent="0.25">
      <c r="A602" s="50">
        <v>121</v>
      </c>
      <c r="B602" s="50" t="s">
        <v>925</v>
      </c>
      <c r="C602" s="50" t="s">
        <v>1357</v>
      </c>
      <c r="D602" s="50">
        <v>31</v>
      </c>
      <c r="E602" s="50" t="s">
        <v>1359</v>
      </c>
      <c r="F602" s="50">
        <v>0</v>
      </c>
      <c r="G602" s="50">
        <v>6.7</v>
      </c>
      <c r="H602" s="50">
        <v>41</v>
      </c>
      <c r="I602" s="50">
        <v>3.4</v>
      </c>
      <c r="J602" s="50">
        <v>104</v>
      </c>
      <c r="K602" s="50">
        <v>100</v>
      </c>
      <c r="L602" s="50">
        <v>6.7</v>
      </c>
      <c r="M602" s="50">
        <v>6.79</v>
      </c>
      <c r="N602" s="50">
        <v>37</v>
      </c>
      <c r="O602" s="50">
        <v>9.5</v>
      </c>
      <c r="P602" s="50">
        <v>9.3000000000000007</v>
      </c>
      <c r="Q602" s="50">
        <v>45.3</v>
      </c>
      <c r="R602" s="50">
        <v>28</v>
      </c>
      <c r="S602" s="50">
        <v>14.5</v>
      </c>
      <c r="T602" s="50">
        <v>48</v>
      </c>
      <c r="U602" s="50">
        <v>6.66</v>
      </c>
      <c r="V602" s="50">
        <v>59.5</v>
      </c>
      <c r="W602" s="50">
        <v>56</v>
      </c>
      <c r="X602" s="50">
        <v>408</v>
      </c>
      <c r="Y602" s="50">
        <v>14.69</v>
      </c>
      <c r="Z602" s="50">
        <v>37.799999999999997</v>
      </c>
      <c r="AA602" s="50">
        <v>4.68</v>
      </c>
      <c r="AB602" s="50"/>
      <c r="AC602" s="50"/>
      <c r="AD602" s="50"/>
      <c r="AE602" s="50"/>
      <c r="AF602" s="50"/>
      <c r="AG602" s="50"/>
      <c r="AH602" s="50"/>
      <c r="AI602" s="50"/>
      <c r="AJ602" s="50"/>
    </row>
    <row r="603" spans="1:36" ht="15" customHeight="1" x14ac:dyDescent="0.25">
      <c r="A603" s="50">
        <v>121</v>
      </c>
      <c r="B603" s="50" t="s">
        <v>925</v>
      </c>
      <c r="C603" s="50" t="s">
        <v>1357</v>
      </c>
      <c r="D603" s="50">
        <v>31</v>
      </c>
      <c r="E603" s="50" t="s">
        <v>1359</v>
      </c>
      <c r="F603" s="50">
        <v>4</v>
      </c>
      <c r="G603" s="50">
        <v>5.9</v>
      </c>
      <c r="H603" s="50">
        <v>37</v>
      </c>
      <c r="I603" s="50">
        <v>3.07</v>
      </c>
      <c r="J603" s="50">
        <v>112</v>
      </c>
      <c r="K603" s="50">
        <v>91</v>
      </c>
      <c r="L603" s="50">
        <v>5.82</v>
      </c>
      <c r="M603" s="50">
        <v>6.2</v>
      </c>
      <c r="N603" s="50">
        <v>33</v>
      </c>
      <c r="O603" s="50">
        <v>9.4</v>
      </c>
      <c r="P603" s="50">
        <v>8.9</v>
      </c>
      <c r="Q603" s="50">
        <v>41.2</v>
      </c>
      <c r="R603" s="50">
        <v>34.799999999999997</v>
      </c>
      <c r="S603" s="50">
        <v>16.7</v>
      </c>
      <c r="T603" s="50">
        <v>51</v>
      </c>
      <c r="U603" s="50">
        <v>5.74</v>
      </c>
      <c r="V603" s="50">
        <v>63.7</v>
      </c>
      <c r="W603" s="50">
        <v>58</v>
      </c>
      <c r="X603" s="50">
        <v>430</v>
      </c>
      <c r="Y603" s="50">
        <v>13.15</v>
      </c>
      <c r="Z603" s="50">
        <v>36.9</v>
      </c>
      <c r="AA603" s="50">
        <v>5.01</v>
      </c>
      <c r="AB603" s="50"/>
      <c r="AC603" s="50"/>
      <c r="AD603" s="50"/>
      <c r="AE603" s="50"/>
      <c r="AF603" s="50"/>
      <c r="AG603" s="50"/>
      <c r="AH603" s="50"/>
      <c r="AI603" s="50"/>
      <c r="AJ603" s="50"/>
    </row>
    <row r="604" spans="1:36" ht="15" customHeight="1" x14ac:dyDescent="0.25">
      <c r="A604" s="50">
        <v>121</v>
      </c>
      <c r="B604" s="50" t="s">
        <v>925</v>
      </c>
      <c r="C604" s="50" t="s">
        <v>1357</v>
      </c>
      <c r="D604" s="50">
        <v>31</v>
      </c>
      <c r="E604" s="50" t="s">
        <v>1359</v>
      </c>
      <c r="F604" s="50">
        <v>8</v>
      </c>
      <c r="G604" s="50">
        <v>5.4</v>
      </c>
      <c r="H604" s="50">
        <v>33</v>
      </c>
      <c r="I604" s="50">
        <v>2.72</v>
      </c>
      <c r="J604" s="50">
        <v>114</v>
      </c>
      <c r="K604" s="50">
        <v>83</v>
      </c>
      <c r="L604" s="50">
        <v>5.36</v>
      </c>
      <c r="M604" s="50">
        <v>5.74</v>
      </c>
      <c r="N604" s="50">
        <v>34</v>
      </c>
      <c r="O604" s="50">
        <v>8.5</v>
      </c>
      <c r="P604" s="50">
        <v>8.8000000000000007</v>
      </c>
      <c r="Q604" s="50">
        <v>39.4</v>
      </c>
      <c r="R604" s="50">
        <v>38.6</v>
      </c>
      <c r="S604" s="50">
        <v>18.100000000000001</v>
      </c>
      <c r="T604" s="50">
        <v>54</v>
      </c>
      <c r="U604" s="50">
        <v>5</v>
      </c>
      <c r="V604" s="50">
        <v>66</v>
      </c>
      <c r="W604" s="50">
        <v>59</v>
      </c>
      <c r="X604" s="50">
        <v>450</v>
      </c>
      <c r="Y604" s="50">
        <v>12.53</v>
      </c>
      <c r="Z604" s="50">
        <v>38</v>
      </c>
      <c r="AA604" s="50">
        <v>5.39</v>
      </c>
      <c r="AB604" s="50"/>
      <c r="AC604" s="50"/>
      <c r="AD604" s="50"/>
      <c r="AE604" s="50"/>
      <c r="AF604" s="50"/>
      <c r="AG604" s="50"/>
      <c r="AH604" s="50"/>
      <c r="AI604" s="50"/>
      <c r="AJ604" s="50"/>
    </row>
    <row r="605" spans="1:36" ht="15" customHeight="1" x14ac:dyDescent="0.25">
      <c r="A605" s="50">
        <v>121</v>
      </c>
      <c r="B605" s="50" t="s">
        <v>925</v>
      </c>
      <c r="C605" s="50" t="s">
        <v>1357</v>
      </c>
      <c r="D605" s="50">
        <v>31</v>
      </c>
      <c r="E605" s="50" t="s">
        <v>1359</v>
      </c>
      <c r="F605" s="50">
        <v>12</v>
      </c>
      <c r="G605" s="50">
        <v>4.8</v>
      </c>
      <c r="H605" s="50">
        <v>31</v>
      </c>
      <c r="I605" s="50">
        <v>2.44</v>
      </c>
      <c r="J605" s="50">
        <v>120</v>
      </c>
      <c r="K605" s="50">
        <v>74</v>
      </c>
      <c r="L605" s="50">
        <v>4.79</v>
      </c>
      <c r="M605" s="50">
        <v>5.32</v>
      </c>
      <c r="N605" s="50">
        <v>33</v>
      </c>
      <c r="O605" s="50">
        <v>8.9</v>
      </c>
      <c r="P605" s="50">
        <v>8.9</v>
      </c>
      <c r="Q605" s="50">
        <v>33.799999999999997</v>
      </c>
      <c r="R605" s="50">
        <v>45.4</v>
      </c>
      <c r="S605" s="50">
        <v>20.100000000000001</v>
      </c>
      <c r="T605" s="50">
        <v>56</v>
      </c>
      <c r="U605" s="50">
        <v>5.48</v>
      </c>
      <c r="V605" s="50">
        <v>66.3</v>
      </c>
      <c r="W605" s="50">
        <v>58</v>
      </c>
      <c r="X605" s="50">
        <v>444</v>
      </c>
      <c r="Y605" s="50">
        <v>12.4</v>
      </c>
      <c r="Z605" s="50">
        <v>39.6</v>
      </c>
      <c r="AA605" s="50">
        <v>5.69</v>
      </c>
      <c r="AB605" s="50"/>
      <c r="AC605" s="50"/>
      <c r="AD605" s="50"/>
      <c r="AE605" s="50"/>
      <c r="AF605" s="50"/>
      <c r="AG605" s="50"/>
      <c r="AH605" s="50"/>
      <c r="AI605" s="50"/>
      <c r="AJ605" s="50"/>
    </row>
    <row r="606" spans="1:36" ht="15" customHeight="1" x14ac:dyDescent="0.25">
      <c r="A606" s="50">
        <v>121</v>
      </c>
      <c r="B606" s="50" t="s">
        <v>925</v>
      </c>
      <c r="C606" s="50" t="s">
        <v>1357</v>
      </c>
      <c r="D606" s="50">
        <v>31</v>
      </c>
      <c r="E606" s="50" t="s">
        <v>1359</v>
      </c>
      <c r="F606" s="50">
        <v>21</v>
      </c>
      <c r="G606" s="50">
        <v>2.7</v>
      </c>
      <c r="H606" s="50">
        <v>25</v>
      </c>
      <c r="I606" s="50">
        <v>1.75</v>
      </c>
      <c r="J606" s="50">
        <v>131</v>
      </c>
      <c r="K606" s="50">
        <v>55</v>
      </c>
      <c r="L606" s="50">
        <v>2.84</v>
      </c>
      <c r="M606" s="50">
        <v>3.02</v>
      </c>
      <c r="N606" s="50">
        <v>25</v>
      </c>
      <c r="O606" s="50">
        <v>8.1999999999999993</v>
      </c>
      <c r="P606" s="50">
        <v>7.1</v>
      </c>
      <c r="Q606" s="50">
        <v>22.7</v>
      </c>
      <c r="R606" s="50">
        <v>65.3</v>
      </c>
      <c r="S606" s="50">
        <v>29.3</v>
      </c>
      <c r="T606" s="50">
        <v>67</v>
      </c>
      <c r="U606" s="50">
        <v>3.34</v>
      </c>
      <c r="V606" s="50">
        <v>71.400000000000006</v>
      </c>
      <c r="W606" s="50">
        <v>72</v>
      </c>
      <c r="X606" s="50">
        <v>500</v>
      </c>
      <c r="Y606" s="50">
        <v>9.25</v>
      </c>
      <c r="Z606" s="50">
        <v>39.4</v>
      </c>
      <c r="AA606" s="50">
        <v>6.54</v>
      </c>
      <c r="AB606" s="50"/>
      <c r="AC606" s="50"/>
      <c r="AD606" s="50"/>
      <c r="AE606" s="50"/>
      <c r="AF606" s="50"/>
      <c r="AG606" s="50"/>
      <c r="AH606" s="50"/>
      <c r="AI606" s="50"/>
      <c r="AJ606" s="50"/>
    </row>
    <row r="607" spans="1:36" ht="15" customHeight="1" x14ac:dyDescent="0.25">
      <c r="A607" s="50">
        <v>122</v>
      </c>
      <c r="B607" s="50" t="s">
        <v>925</v>
      </c>
      <c r="C607" s="50" t="s">
        <v>1352</v>
      </c>
      <c r="D607" s="50">
        <v>29</v>
      </c>
      <c r="E607" s="50" t="s">
        <v>1360</v>
      </c>
      <c r="F607" s="50">
        <v>0</v>
      </c>
      <c r="G607" s="50">
        <v>7.6</v>
      </c>
      <c r="H607" s="50">
        <v>43</v>
      </c>
      <c r="I607" s="50">
        <v>3.1</v>
      </c>
      <c r="J607" s="50">
        <v>105</v>
      </c>
      <c r="K607" s="50">
        <v>100</v>
      </c>
      <c r="L607" s="50">
        <v>7.16</v>
      </c>
      <c r="M607" s="50">
        <v>6.3</v>
      </c>
      <c r="N607" s="50">
        <v>50</v>
      </c>
      <c r="O607" s="50">
        <v>10</v>
      </c>
      <c r="P607" s="50">
        <v>16.7</v>
      </c>
      <c r="Q607" s="50">
        <v>46.7</v>
      </c>
      <c r="R607" s="50">
        <v>30.7</v>
      </c>
      <c r="S607" s="50">
        <v>12.9</v>
      </c>
      <c r="T607" s="50">
        <v>44</v>
      </c>
      <c r="U607" s="50">
        <v>10.039999999999999</v>
      </c>
      <c r="V607" s="50">
        <v>52.3</v>
      </c>
      <c r="W607" s="50">
        <v>55</v>
      </c>
      <c r="X607" s="50">
        <v>446</v>
      </c>
      <c r="Y607" s="50">
        <v>13.47</v>
      </c>
      <c r="Z607" s="50">
        <v>20.6</v>
      </c>
      <c r="AA607" s="50">
        <v>5.46</v>
      </c>
      <c r="AB607" s="50"/>
      <c r="AC607" s="50"/>
      <c r="AD607" s="50"/>
      <c r="AE607" s="50"/>
      <c r="AF607" s="50"/>
      <c r="AG607" s="50"/>
      <c r="AH607" s="50"/>
      <c r="AI607" s="50"/>
      <c r="AJ607" s="50"/>
    </row>
    <row r="608" spans="1:36" ht="15" customHeight="1" x14ac:dyDescent="0.25">
      <c r="A608" s="50">
        <v>122</v>
      </c>
      <c r="B608" s="50" t="s">
        <v>925</v>
      </c>
      <c r="C608" s="50" t="s">
        <v>1352</v>
      </c>
      <c r="D608" s="50">
        <v>29</v>
      </c>
      <c r="E608" s="50" t="s">
        <v>1360</v>
      </c>
      <c r="F608" s="50">
        <v>4</v>
      </c>
      <c r="G608" s="50">
        <v>6.8</v>
      </c>
      <c r="H608" s="50">
        <v>40</v>
      </c>
      <c r="I608" s="50">
        <v>2.9</v>
      </c>
      <c r="J608" s="50">
        <v>109</v>
      </c>
      <c r="K608" s="50">
        <v>91</v>
      </c>
      <c r="L608" s="50">
        <v>6.41</v>
      </c>
      <c r="M608" s="50">
        <v>5.54</v>
      </c>
      <c r="N608" s="50">
        <v>47</v>
      </c>
      <c r="O608" s="50">
        <v>10.5</v>
      </c>
      <c r="P608" s="50">
        <v>16.100000000000001</v>
      </c>
      <c r="Q608" s="50">
        <v>44.9</v>
      </c>
      <c r="R608" s="50">
        <v>33.799999999999997</v>
      </c>
      <c r="S608" s="50">
        <v>17</v>
      </c>
      <c r="T608" s="50">
        <v>46</v>
      </c>
      <c r="U608" s="50">
        <v>9.59</v>
      </c>
      <c r="V608" s="50">
        <v>54.1</v>
      </c>
      <c r="W608" s="50">
        <v>59</v>
      </c>
      <c r="X608" s="50">
        <v>463</v>
      </c>
      <c r="Y608" s="50">
        <v>12.78</v>
      </c>
      <c r="Z608" s="50">
        <v>22.5</v>
      </c>
      <c r="AA608" s="50">
        <v>5.62</v>
      </c>
      <c r="AB608" s="50"/>
      <c r="AC608" s="50"/>
      <c r="AD608" s="50"/>
      <c r="AE608" s="50"/>
      <c r="AF608" s="50"/>
      <c r="AG608" s="50"/>
      <c r="AH608" s="50"/>
      <c r="AI608" s="50"/>
      <c r="AJ608" s="50"/>
    </row>
    <row r="609" spans="1:36" ht="15" customHeight="1" x14ac:dyDescent="0.25">
      <c r="A609" s="50">
        <v>122</v>
      </c>
      <c r="B609" s="50" t="s">
        <v>925</v>
      </c>
      <c r="C609" s="50" t="s">
        <v>1352</v>
      </c>
      <c r="D609" s="50">
        <v>29</v>
      </c>
      <c r="E609" s="50" t="s">
        <v>1360</v>
      </c>
      <c r="F609" s="50">
        <v>8</v>
      </c>
      <c r="G609" s="50">
        <v>5.6</v>
      </c>
      <c r="H609" s="50">
        <v>36</v>
      </c>
      <c r="I609" s="50">
        <v>2.64</v>
      </c>
      <c r="J609" s="50">
        <v>111</v>
      </c>
      <c r="K609" s="50">
        <v>83</v>
      </c>
      <c r="L609" s="50">
        <v>5.47</v>
      </c>
      <c r="M609" s="50">
        <v>4.72</v>
      </c>
      <c r="N609" s="50">
        <v>40</v>
      </c>
      <c r="O609" s="50">
        <v>9.8000000000000007</v>
      </c>
      <c r="P609" s="50">
        <v>14.1</v>
      </c>
      <c r="Q609" s="50">
        <v>38.799999999999997</v>
      </c>
      <c r="R609" s="50">
        <v>40.200000000000003</v>
      </c>
      <c r="S609" s="50">
        <v>22</v>
      </c>
      <c r="T609" s="50">
        <v>50</v>
      </c>
      <c r="U609" s="50">
        <v>9.5399999999999991</v>
      </c>
      <c r="V609" s="50">
        <v>56.4</v>
      </c>
      <c r="W609" s="50">
        <v>59</v>
      </c>
      <c r="X609" s="50">
        <v>488</v>
      </c>
      <c r="Y609" s="50">
        <v>11.89</v>
      </c>
      <c r="Z609" s="50">
        <v>27.3</v>
      </c>
      <c r="AA609" s="50">
        <v>5.78</v>
      </c>
      <c r="AB609" s="50"/>
      <c r="AC609" s="50"/>
      <c r="AD609" s="50"/>
      <c r="AE609" s="50"/>
      <c r="AF609" s="50"/>
      <c r="AG609" s="50"/>
      <c r="AH609" s="50"/>
      <c r="AI609" s="50"/>
      <c r="AJ609" s="50"/>
    </row>
    <row r="610" spans="1:36" ht="15" customHeight="1" x14ac:dyDescent="0.25">
      <c r="A610" s="50">
        <v>122</v>
      </c>
      <c r="B610" s="50" t="s">
        <v>925</v>
      </c>
      <c r="C610" s="50" t="s">
        <v>1352</v>
      </c>
      <c r="D610" s="50">
        <v>29</v>
      </c>
      <c r="E610" s="50" t="s">
        <v>1360</v>
      </c>
      <c r="F610" s="50">
        <v>12</v>
      </c>
      <c r="G610" s="50">
        <v>5.0999999999999996</v>
      </c>
      <c r="H610" s="50">
        <v>33</v>
      </c>
      <c r="I610" s="50">
        <v>2.33</v>
      </c>
      <c r="J610" s="50">
        <v>122</v>
      </c>
      <c r="K610" s="50">
        <v>74</v>
      </c>
      <c r="L610" s="50">
        <v>4.8899999999999997</v>
      </c>
      <c r="M610" s="50">
        <v>4.2</v>
      </c>
      <c r="N610" s="50">
        <v>41</v>
      </c>
      <c r="O610" s="50">
        <v>8.6</v>
      </c>
      <c r="P610" s="50">
        <v>14.6</v>
      </c>
      <c r="Q610" s="50">
        <v>42.4</v>
      </c>
      <c r="R610" s="50">
        <v>41.1</v>
      </c>
      <c r="S610" s="50">
        <v>22.6</v>
      </c>
      <c r="T610" s="50">
        <v>55</v>
      </c>
      <c r="U610" s="50">
        <v>8.34</v>
      </c>
      <c r="V610" s="50">
        <v>60.2</v>
      </c>
      <c r="W610" s="50">
        <v>63</v>
      </c>
      <c r="X610" s="50">
        <v>503</v>
      </c>
      <c r="Y610" s="50">
        <v>11.91</v>
      </c>
      <c r="Z610" s="50">
        <v>29.4</v>
      </c>
      <c r="AA610" s="50">
        <v>5.88</v>
      </c>
      <c r="AB610" s="50"/>
      <c r="AC610" s="50"/>
      <c r="AD610" s="50"/>
      <c r="AE610" s="50"/>
      <c r="AF610" s="50"/>
      <c r="AG610" s="50"/>
      <c r="AH610" s="50"/>
      <c r="AI610" s="50"/>
      <c r="AJ610" s="50"/>
    </row>
    <row r="611" spans="1:36" ht="15" customHeight="1" x14ac:dyDescent="0.25">
      <c r="A611" s="50">
        <v>122</v>
      </c>
      <c r="B611" s="50" t="s">
        <v>925</v>
      </c>
      <c r="C611" s="50" t="s">
        <v>1352</v>
      </c>
      <c r="D611" s="50">
        <v>29</v>
      </c>
      <c r="E611" s="50" t="s">
        <v>1360</v>
      </c>
      <c r="F611" s="50">
        <v>21</v>
      </c>
      <c r="G611" s="50">
        <v>3.1</v>
      </c>
      <c r="H611" s="50">
        <v>26</v>
      </c>
      <c r="I611" s="50">
        <v>1.59</v>
      </c>
      <c r="J611" s="50">
        <v>128</v>
      </c>
      <c r="K611" s="50">
        <v>55</v>
      </c>
      <c r="L611" s="50">
        <v>3.08</v>
      </c>
      <c r="M611" s="50">
        <v>2.81</v>
      </c>
      <c r="N611" s="50">
        <v>27</v>
      </c>
      <c r="O611" s="50">
        <v>7.7</v>
      </c>
      <c r="P611" s="50">
        <v>11.5</v>
      </c>
      <c r="Q611" s="50">
        <v>29.3</v>
      </c>
      <c r="R611" s="50">
        <v>50.9</v>
      </c>
      <c r="S611" s="50">
        <v>31.6</v>
      </c>
      <c r="T611" s="50">
        <v>59</v>
      </c>
      <c r="U611" s="50">
        <v>6.7</v>
      </c>
      <c r="V611" s="50">
        <v>62</v>
      </c>
      <c r="W611" s="50">
        <v>69</v>
      </c>
      <c r="X611" s="50">
        <v>512</v>
      </c>
      <c r="Y611" s="50">
        <v>11.01</v>
      </c>
      <c r="Z611" s="50">
        <v>35.1</v>
      </c>
      <c r="AA611" s="50">
        <v>6.38</v>
      </c>
      <c r="AB611" s="50"/>
      <c r="AC611" s="50"/>
      <c r="AD611" s="50"/>
      <c r="AE611" s="50"/>
      <c r="AF611" s="50"/>
      <c r="AG611" s="50"/>
      <c r="AH611" s="50"/>
      <c r="AI611" s="50"/>
      <c r="AJ611" s="50"/>
    </row>
    <row r="612" spans="1:36" ht="15" customHeight="1" x14ac:dyDescent="0.25">
      <c r="A612" s="50">
        <v>123</v>
      </c>
      <c r="B612" s="50" t="s">
        <v>925</v>
      </c>
      <c r="C612" s="50" t="s">
        <v>1352</v>
      </c>
      <c r="D612" s="50">
        <v>35</v>
      </c>
      <c r="E612" s="50" t="s">
        <v>1360</v>
      </c>
      <c r="F612" s="50">
        <v>0</v>
      </c>
      <c r="G612" s="50">
        <v>7.1</v>
      </c>
      <c r="H612" s="50">
        <v>31</v>
      </c>
      <c r="I612" s="50">
        <v>3.91</v>
      </c>
      <c r="J612" s="50">
        <v>93</v>
      </c>
      <c r="K612" s="50">
        <v>100</v>
      </c>
      <c r="L612" s="50">
        <v>7.78</v>
      </c>
      <c r="M612" s="50">
        <v>5.94</v>
      </c>
      <c r="N612" s="50">
        <v>38</v>
      </c>
      <c r="O612" s="50">
        <v>12.9</v>
      </c>
      <c r="P612" s="50">
        <v>8.1</v>
      </c>
      <c r="Q612" s="50">
        <v>46.1</v>
      </c>
      <c r="R612" s="50">
        <v>39.700000000000003</v>
      </c>
      <c r="S612" s="50">
        <v>26.8</v>
      </c>
      <c r="T612" s="50">
        <v>40</v>
      </c>
      <c r="U612" s="50">
        <v>10.18</v>
      </c>
      <c r="V612" s="50">
        <v>55.8</v>
      </c>
      <c r="W612" s="50">
        <v>40</v>
      </c>
      <c r="X612" s="50">
        <v>384</v>
      </c>
      <c r="Y612" s="50">
        <v>13.62</v>
      </c>
      <c r="Z612" s="50">
        <v>23</v>
      </c>
      <c r="AA612" s="50">
        <v>4.8</v>
      </c>
      <c r="AB612" s="50"/>
      <c r="AC612" s="50"/>
      <c r="AD612" s="50"/>
      <c r="AE612" s="50"/>
      <c r="AF612" s="50"/>
      <c r="AG612" s="50"/>
      <c r="AH612" s="50"/>
      <c r="AI612" s="50"/>
      <c r="AJ612" s="50"/>
    </row>
    <row r="613" spans="1:36" ht="15" customHeight="1" x14ac:dyDescent="0.25">
      <c r="A613" s="50">
        <v>123</v>
      </c>
      <c r="B613" s="50" t="s">
        <v>925</v>
      </c>
      <c r="C613" s="50" t="s">
        <v>1352</v>
      </c>
      <c r="D613" s="50">
        <v>35</v>
      </c>
      <c r="E613" s="50" t="s">
        <v>1360</v>
      </c>
      <c r="F613" s="50">
        <v>4</v>
      </c>
      <c r="G613" s="50">
        <v>6.3</v>
      </c>
      <c r="H613" s="50">
        <v>28</v>
      </c>
      <c r="I613" s="50">
        <v>3.61</v>
      </c>
      <c r="J613" s="50">
        <v>94</v>
      </c>
      <c r="K613" s="50">
        <v>91</v>
      </c>
      <c r="L613" s="50">
        <v>6.72</v>
      </c>
      <c r="M613" s="50">
        <v>5.47</v>
      </c>
      <c r="N613" s="50">
        <v>33</v>
      </c>
      <c r="O613" s="50">
        <v>11.2</v>
      </c>
      <c r="P613" s="50">
        <v>7.4</v>
      </c>
      <c r="Q613" s="50">
        <v>41.5</v>
      </c>
      <c r="R613" s="50">
        <v>40.1</v>
      </c>
      <c r="S613" s="50">
        <v>27.6</v>
      </c>
      <c r="T613" s="50">
        <v>45</v>
      </c>
      <c r="U613" s="50">
        <v>10.77</v>
      </c>
      <c r="V613" s="50">
        <v>56.3</v>
      </c>
      <c r="W613" s="50">
        <v>48</v>
      </c>
      <c r="X613" s="50">
        <v>393</v>
      </c>
      <c r="Y613" s="50">
        <v>12.77</v>
      </c>
      <c r="Z613" s="50">
        <v>25.4</v>
      </c>
      <c r="AA613" s="50">
        <v>5.1100000000000003</v>
      </c>
      <c r="AB613" s="50"/>
      <c r="AC613" s="50"/>
      <c r="AD613" s="50"/>
      <c r="AE613" s="50"/>
      <c r="AF613" s="50"/>
      <c r="AG613" s="50"/>
      <c r="AH613" s="50"/>
      <c r="AI613" s="50"/>
      <c r="AJ613" s="50"/>
    </row>
    <row r="614" spans="1:36" ht="15" customHeight="1" x14ac:dyDescent="0.25">
      <c r="A614" s="50">
        <v>123</v>
      </c>
      <c r="B614" s="50" t="s">
        <v>925</v>
      </c>
      <c r="C614" s="50" t="s">
        <v>1352</v>
      </c>
      <c r="D614" s="50">
        <v>35</v>
      </c>
      <c r="E614" s="50" t="s">
        <v>1360</v>
      </c>
      <c r="F614" s="50">
        <v>8</v>
      </c>
      <c r="G614" s="50">
        <v>5.5</v>
      </c>
      <c r="H614" s="50">
        <v>25</v>
      </c>
      <c r="I614" s="50">
        <v>3.2</v>
      </c>
      <c r="J614" s="50">
        <v>99</v>
      </c>
      <c r="K614" s="50">
        <v>83</v>
      </c>
      <c r="L614" s="50">
        <v>6.17</v>
      </c>
      <c r="M614" s="50">
        <v>4.66</v>
      </c>
      <c r="N614" s="50">
        <v>36</v>
      </c>
      <c r="O614" s="50">
        <v>11.1</v>
      </c>
      <c r="P614" s="50">
        <v>8.3000000000000007</v>
      </c>
      <c r="Q614" s="50">
        <v>38.4</v>
      </c>
      <c r="R614" s="50">
        <v>48.2</v>
      </c>
      <c r="S614" s="50">
        <v>29.2</v>
      </c>
      <c r="T614" s="50">
        <v>52</v>
      </c>
      <c r="U614" s="50">
        <v>9.58</v>
      </c>
      <c r="V614" s="50">
        <v>57.9</v>
      </c>
      <c r="W614" s="50">
        <v>52</v>
      </c>
      <c r="X614" s="50">
        <v>434</v>
      </c>
      <c r="Y614" s="50">
        <v>12.45</v>
      </c>
      <c r="Z614" s="50">
        <v>27.9</v>
      </c>
      <c r="AA614" s="50">
        <v>5.26</v>
      </c>
      <c r="AB614" s="50"/>
      <c r="AC614" s="50"/>
      <c r="AD614" s="50"/>
      <c r="AE614" s="50"/>
      <c r="AF614" s="50"/>
      <c r="AG614" s="50"/>
      <c r="AH614" s="50"/>
      <c r="AI614" s="50"/>
      <c r="AJ614" s="50"/>
    </row>
    <row r="615" spans="1:36" ht="15" customHeight="1" x14ac:dyDescent="0.25">
      <c r="A615" s="50">
        <v>123</v>
      </c>
      <c r="B615" s="50" t="s">
        <v>925</v>
      </c>
      <c r="C615" s="50" t="s">
        <v>1352</v>
      </c>
      <c r="D615" s="50">
        <v>35</v>
      </c>
      <c r="E615" s="50" t="s">
        <v>1360</v>
      </c>
      <c r="F615" s="50">
        <v>12</v>
      </c>
      <c r="G615" s="50">
        <v>4.7</v>
      </c>
      <c r="H615" s="50">
        <v>22</v>
      </c>
      <c r="I615" s="50">
        <v>2.83</v>
      </c>
      <c r="J615" s="50">
        <v>103</v>
      </c>
      <c r="K615" s="50">
        <v>74</v>
      </c>
      <c r="L615" s="50">
        <v>5.0199999999999996</v>
      </c>
      <c r="M615" s="50">
        <v>4.0599999999999996</v>
      </c>
      <c r="N615" s="50">
        <v>30</v>
      </c>
      <c r="O615" s="50">
        <v>10.8</v>
      </c>
      <c r="P615" s="50">
        <v>6.8</v>
      </c>
      <c r="Q615" s="50">
        <v>38.799999999999997</v>
      </c>
      <c r="R615" s="50">
        <v>51.3</v>
      </c>
      <c r="S615" s="50">
        <v>29.2</v>
      </c>
      <c r="T615" s="50">
        <v>53</v>
      </c>
      <c r="U615" s="50">
        <v>8.34</v>
      </c>
      <c r="V615" s="50">
        <v>61.3</v>
      </c>
      <c r="W615" s="50">
        <v>60</v>
      </c>
      <c r="X615" s="50">
        <v>455</v>
      </c>
      <c r="Y615" s="50">
        <v>12.08</v>
      </c>
      <c r="Z615" s="50">
        <v>28.6</v>
      </c>
      <c r="AA615" s="50">
        <v>5.97</v>
      </c>
      <c r="AB615" s="50"/>
      <c r="AC615" s="50"/>
      <c r="AD615" s="50"/>
      <c r="AE615" s="50"/>
      <c r="AF615" s="50"/>
      <c r="AG615" s="50"/>
      <c r="AH615" s="50"/>
      <c r="AI615" s="50"/>
      <c r="AJ615" s="50"/>
    </row>
    <row r="616" spans="1:36" ht="15" customHeight="1" x14ac:dyDescent="0.25">
      <c r="A616" s="50">
        <v>123</v>
      </c>
      <c r="B616" s="50" t="s">
        <v>925</v>
      </c>
      <c r="C616" s="50" t="s">
        <v>1352</v>
      </c>
      <c r="D616" s="50">
        <v>35</v>
      </c>
      <c r="E616" s="50" t="s">
        <v>1360</v>
      </c>
      <c r="F616" s="50">
        <v>21</v>
      </c>
      <c r="G616" s="50">
        <v>2.9</v>
      </c>
      <c r="H616" s="50">
        <v>14</v>
      </c>
      <c r="I616" s="50">
        <v>1.97</v>
      </c>
      <c r="J616" s="50">
        <v>116</v>
      </c>
      <c r="K616" s="50">
        <v>55</v>
      </c>
      <c r="L616" s="50">
        <v>3.02</v>
      </c>
      <c r="M616" s="50">
        <v>3.18</v>
      </c>
      <c r="N616" s="50">
        <v>24</v>
      </c>
      <c r="O616" s="50">
        <v>9.1</v>
      </c>
      <c r="P616" s="50">
        <v>7.7</v>
      </c>
      <c r="Q616" s="50">
        <v>23.9</v>
      </c>
      <c r="R616" s="50">
        <v>60.1</v>
      </c>
      <c r="S616" s="50">
        <v>37.9</v>
      </c>
      <c r="T616" s="50">
        <v>61</v>
      </c>
      <c r="U616" s="50">
        <v>6.11</v>
      </c>
      <c r="V616" s="50">
        <v>62.5</v>
      </c>
      <c r="W616" s="50">
        <v>77</v>
      </c>
      <c r="X616" s="50">
        <v>504</v>
      </c>
      <c r="Y616" s="50">
        <v>10.15</v>
      </c>
      <c r="Z616" s="50">
        <v>36.9</v>
      </c>
      <c r="AA616" s="50">
        <v>6.68</v>
      </c>
      <c r="AB616" s="50"/>
      <c r="AC616" s="50"/>
      <c r="AD616" s="50"/>
      <c r="AE616" s="50"/>
      <c r="AF616" s="50"/>
      <c r="AG616" s="50"/>
      <c r="AH616" s="50"/>
      <c r="AI616" s="50"/>
      <c r="AJ616" s="50"/>
    </row>
    <row r="617" spans="1:36" ht="15" customHeight="1" x14ac:dyDescent="0.25">
      <c r="A617" s="50">
        <v>124</v>
      </c>
      <c r="B617" s="50" t="s">
        <v>925</v>
      </c>
      <c r="C617" s="50" t="s">
        <v>1352</v>
      </c>
      <c r="D617" s="50">
        <v>53</v>
      </c>
      <c r="E617" s="50" t="s">
        <v>1353</v>
      </c>
      <c r="F617" s="50">
        <v>0</v>
      </c>
      <c r="G617" s="50">
        <v>8.1</v>
      </c>
      <c r="H617" s="50">
        <v>39</v>
      </c>
      <c r="I617" s="50">
        <v>2.71</v>
      </c>
      <c r="J617" s="50">
        <v>76</v>
      </c>
      <c r="K617" s="50">
        <v>100</v>
      </c>
      <c r="L617" s="50">
        <v>6.69</v>
      </c>
      <c r="M617" s="50">
        <v>5.93</v>
      </c>
      <c r="N617" s="50">
        <v>47</v>
      </c>
      <c r="O617" s="50">
        <v>10</v>
      </c>
      <c r="P617" s="50">
        <v>14.5</v>
      </c>
      <c r="Q617" s="50">
        <v>53.1</v>
      </c>
      <c r="R617" s="50">
        <v>31.4</v>
      </c>
      <c r="S617" s="50">
        <v>17.8</v>
      </c>
      <c r="T617" s="50">
        <v>50</v>
      </c>
      <c r="U617" s="50">
        <v>8.1999999999999993</v>
      </c>
      <c r="V617" s="50">
        <v>55.1</v>
      </c>
      <c r="W617" s="50">
        <v>54</v>
      </c>
      <c r="X617" s="50">
        <v>398</v>
      </c>
      <c r="Y617" s="50">
        <v>10.44</v>
      </c>
      <c r="Z617" s="50">
        <v>17.8</v>
      </c>
      <c r="AA617" s="50">
        <v>4.91</v>
      </c>
      <c r="AB617" s="50"/>
      <c r="AC617" s="50"/>
      <c r="AD617" s="50"/>
      <c r="AE617" s="50"/>
      <c r="AF617" s="50"/>
      <c r="AG617" s="50"/>
      <c r="AH617" s="50"/>
      <c r="AI617" s="50"/>
      <c r="AJ617" s="50"/>
    </row>
    <row r="618" spans="1:36" ht="15" customHeight="1" x14ac:dyDescent="0.25">
      <c r="A618" s="50">
        <v>124</v>
      </c>
      <c r="B618" s="50" t="s">
        <v>925</v>
      </c>
      <c r="C618" s="50" t="s">
        <v>1352</v>
      </c>
      <c r="D618" s="50">
        <v>53</v>
      </c>
      <c r="E618" s="50" t="s">
        <v>1353</v>
      </c>
      <c r="F618" s="50">
        <v>4</v>
      </c>
      <c r="G618" s="50">
        <v>7.1</v>
      </c>
      <c r="H618" s="50">
        <v>38</v>
      </c>
      <c r="I618" s="50">
        <v>2.4900000000000002</v>
      </c>
      <c r="J618" s="50">
        <v>82</v>
      </c>
      <c r="K618" s="50">
        <v>91</v>
      </c>
      <c r="L618" s="50">
        <v>6.32</v>
      </c>
      <c r="M618" s="50">
        <v>5.67</v>
      </c>
      <c r="N618" s="50">
        <v>46</v>
      </c>
      <c r="O618" s="50">
        <v>10.1</v>
      </c>
      <c r="P618" s="50">
        <v>13.4</v>
      </c>
      <c r="Q618" s="50">
        <v>45</v>
      </c>
      <c r="R618" s="50">
        <v>34.9</v>
      </c>
      <c r="S618" s="50">
        <v>19.2</v>
      </c>
      <c r="T618" s="50">
        <v>56</v>
      </c>
      <c r="U618" s="50">
        <v>7.61</v>
      </c>
      <c r="V618" s="50">
        <v>58</v>
      </c>
      <c r="W618" s="50">
        <v>54</v>
      </c>
      <c r="X618" s="50">
        <v>414</v>
      </c>
      <c r="Y618" s="50">
        <v>9.8800000000000008</v>
      </c>
      <c r="Z618" s="50">
        <v>21.2</v>
      </c>
      <c r="AA618" s="50">
        <v>4.93</v>
      </c>
      <c r="AB618" s="50"/>
      <c r="AC618" s="50"/>
      <c r="AD618" s="50"/>
      <c r="AE618" s="50"/>
      <c r="AF618" s="50"/>
      <c r="AG618" s="50"/>
      <c r="AH618" s="50"/>
      <c r="AI618" s="50"/>
      <c r="AJ618" s="50"/>
    </row>
    <row r="619" spans="1:36" ht="15" customHeight="1" x14ac:dyDescent="0.25">
      <c r="A619" s="50">
        <v>124</v>
      </c>
      <c r="B619" s="50" t="s">
        <v>925</v>
      </c>
      <c r="C619" s="50" t="s">
        <v>1352</v>
      </c>
      <c r="D619" s="50">
        <v>53</v>
      </c>
      <c r="E619" s="50" t="s">
        <v>1353</v>
      </c>
      <c r="F619" s="50">
        <v>8</v>
      </c>
      <c r="G619" s="50">
        <v>6.1</v>
      </c>
      <c r="H619" s="50">
        <v>33</v>
      </c>
      <c r="I619" s="50">
        <v>2.1800000000000002</v>
      </c>
      <c r="J619" s="50">
        <v>86</v>
      </c>
      <c r="K619" s="50">
        <v>83</v>
      </c>
      <c r="L619" s="50">
        <v>5.73</v>
      </c>
      <c r="M619" s="50">
        <v>5.12</v>
      </c>
      <c r="N619" s="50">
        <v>41</v>
      </c>
      <c r="O619" s="50">
        <v>10.199999999999999</v>
      </c>
      <c r="P619" s="50">
        <v>13.2</v>
      </c>
      <c r="Q619" s="50">
        <v>43.5</v>
      </c>
      <c r="R619" s="50">
        <v>38.200000000000003</v>
      </c>
      <c r="S619" s="50">
        <v>23</v>
      </c>
      <c r="T619" s="50">
        <v>62</v>
      </c>
      <c r="U619" s="50">
        <v>8.1</v>
      </c>
      <c r="V619" s="50">
        <v>60.6</v>
      </c>
      <c r="W619" s="50">
        <v>63</v>
      </c>
      <c r="X619" s="50">
        <v>443</v>
      </c>
      <c r="Y619" s="50">
        <v>10</v>
      </c>
      <c r="Z619" s="50">
        <v>25.9</v>
      </c>
      <c r="AA619" s="50">
        <v>5.29</v>
      </c>
      <c r="AB619" s="50"/>
      <c r="AC619" s="50"/>
      <c r="AD619" s="50"/>
      <c r="AE619" s="50"/>
      <c r="AF619" s="50"/>
      <c r="AG619" s="50"/>
      <c r="AH619" s="50"/>
      <c r="AI619" s="50"/>
      <c r="AJ619" s="50"/>
    </row>
    <row r="620" spans="1:36" ht="15" customHeight="1" x14ac:dyDescent="0.25">
      <c r="A620" s="50">
        <v>124</v>
      </c>
      <c r="B620" s="50" t="s">
        <v>925</v>
      </c>
      <c r="C620" s="50" t="s">
        <v>1352</v>
      </c>
      <c r="D620" s="50">
        <v>53</v>
      </c>
      <c r="E620" s="50" t="s">
        <v>1353</v>
      </c>
      <c r="F620" s="50">
        <v>12</v>
      </c>
      <c r="G620" s="50">
        <v>5.5</v>
      </c>
      <c r="H620" s="50">
        <v>31</v>
      </c>
      <c r="I620" s="50">
        <v>2.02</v>
      </c>
      <c r="J620" s="50">
        <v>87</v>
      </c>
      <c r="K620" s="50">
        <v>74</v>
      </c>
      <c r="L620" s="50">
        <v>5.16</v>
      </c>
      <c r="M620" s="50">
        <v>4.63</v>
      </c>
      <c r="N620" s="50">
        <v>40</v>
      </c>
      <c r="O620" s="50">
        <v>9.3000000000000007</v>
      </c>
      <c r="P620" s="50">
        <v>12.4</v>
      </c>
      <c r="Q620" s="50">
        <v>41.3</v>
      </c>
      <c r="R620" s="50">
        <v>43</v>
      </c>
      <c r="S620" s="50">
        <v>22.5</v>
      </c>
      <c r="T620" s="50">
        <v>59</v>
      </c>
      <c r="U620" s="50">
        <v>7.54</v>
      </c>
      <c r="V620" s="50">
        <v>60.4</v>
      </c>
      <c r="W620" s="50">
        <v>59</v>
      </c>
      <c r="X620" s="50">
        <v>451</v>
      </c>
      <c r="Y620" s="50">
        <v>9.67</v>
      </c>
      <c r="Z620" s="50">
        <v>29.7</v>
      </c>
      <c r="AA620" s="50">
        <v>5.28</v>
      </c>
      <c r="AB620" s="50"/>
      <c r="AC620" s="50"/>
      <c r="AD620" s="50"/>
      <c r="AE620" s="50"/>
      <c r="AF620" s="50"/>
      <c r="AG620" s="50"/>
      <c r="AH620" s="50"/>
      <c r="AI620" s="50"/>
      <c r="AJ620" s="50"/>
    </row>
    <row r="621" spans="1:36" ht="15" customHeight="1" x14ac:dyDescent="0.25">
      <c r="A621" s="50">
        <v>124</v>
      </c>
      <c r="B621" s="50" t="s">
        <v>925</v>
      </c>
      <c r="C621" s="50" t="s">
        <v>1352</v>
      </c>
      <c r="D621" s="50">
        <v>53</v>
      </c>
      <c r="E621" s="50" t="s">
        <v>1353</v>
      </c>
      <c r="F621" s="50">
        <v>21</v>
      </c>
      <c r="G621" s="50">
        <v>3.6</v>
      </c>
      <c r="H621" s="50">
        <v>25</v>
      </c>
      <c r="I621" s="50">
        <v>1.43</v>
      </c>
      <c r="J621" s="50">
        <v>104</v>
      </c>
      <c r="K621" s="50">
        <v>55</v>
      </c>
      <c r="L621" s="50">
        <v>3.75</v>
      </c>
      <c r="M621" s="50">
        <v>3.53</v>
      </c>
      <c r="N621" s="50">
        <v>30</v>
      </c>
      <c r="O621" s="50">
        <v>9.3000000000000007</v>
      </c>
      <c r="P621" s="50">
        <v>7.8</v>
      </c>
      <c r="Q621" s="50">
        <v>31.6</v>
      </c>
      <c r="R621" s="50">
        <v>55.3</v>
      </c>
      <c r="S621" s="50">
        <v>31</v>
      </c>
      <c r="T621" s="50">
        <v>64</v>
      </c>
      <c r="U621" s="50">
        <v>5.82</v>
      </c>
      <c r="V621" s="50">
        <v>66.8</v>
      </c>
      <c r="W621" s="50">
        <v>67</v>
      </c>
      <c r="X621" s="50">
        <v>492</v>
      </c>
      <c r="Y621" s="50">
        <v>8.89</v>
      </c>
      <c r="Z621" s="50">
        <v>37.9</v>
      </c>
      <c r="AA621" s="50">
        <v>6.11</v>
      </c>
      <c r="AB621" s="50"/>
      <c r="AC621" s="50"/>
      <c r="AD621" s="50"/>
      <c r="AE621" s="50"/>
      <c r="AF621" s="50"/>
      <c r="AG621" s="50"/>
      <c r="AH621" s="50"/>
      <c r="AI621" s="50"/>
      <c r="AJ621" s="50"/>
    </row>
    <row r="622" spans="1:36" ht="15" customHeight="1" x14ac:dyDescent="0.25">
      <c r="A622" s="50">
        <v>125</v>
      </c>
      <c r="B622" s="50" t="s">
        <v>925</v>
      </c>
      <c r="C622" s="50" t="s">
        <v>1352</v>
      </c>
      <c r="D622" s="50">
        <v>47</v>
      </c>
      <c r="E622" s="50" t="s">
        <v>1359</v>
      </c>
      <c r="F622" s="50">
        <v>0</v>
      </c>
      <c r="G622" s="50">
        <v>6.3</v>
      </c>
      <c r="H622" s="50">
        <v>50</v>
      </c>
      <c r="I622" s="50">
        <v>3.51</v>
      </c>
      <c r="J622" s="50">
        <v>110</v>
      </c>
      <c r="K622" s="50">
        <v>100</v>
      </c>
      <c r="L622" s="50">
        <v>6.73</v>
      </c>
      <c r="M622" s="50">
        <v>7.18</v>
      </c>
      <c r="N622" s="50">
        <v>36</v>
      </c>
      <c r="O622" s="50">
        <v>13.1</v>
      </c>
      <c r="P622" s="50">
        <v>14.5</v>
      </c>
      <c r="Q622" s="50">
        <v>35.6</v>
      </c>
      <c r="R622" s="50">
        <v>41.4</v>
      </c>
      <c r="S622" s="50">
        <v>10.9</v>
      </c>
      <c r="T622" s="50">
        <v>46</v>
      </c>
      <c r="U622" s="50">
        <v>10.59</v>
      </c>
      <c r="V622" s="50">
        <v>62</v>
      </c>
      <c r="W622" s="50">
        <v>55</v>
      </c>
      <c r="X622" s="50">
        <v>444</v>
      </c>
      <c r="Y622" s="50">
        <v>12.41</v>
      </c>
      <c r="Z622" s="50">
        <v>35.1</v>
      </c>
      <c r="AA622" s="50">
        <v>5.52</v>
      </c>
      <c r="AB622" s="50"/>
      <c r="AC622" s="50"/>
      <c r="AD622" s="50"/>
      <c r="AE622" s="50"/>
      <c r="AF622" s="50"/>
      <c r="AG622" s="50"/>
      <c r="AH622" s="50"/>
      <c r="AI622" s="50"/>
      <c r="AJ622" s="50"/>
    </row>
    <row r="623" spans="1:36" ht="15" customHeight="1" x14ac:dyDescent="0.25">
      <c r="A623" s="50">
        <v>125</v>
      </c>
      <c r="B623" s="50" t="s">
        <v>925</v>
      </c>
      <c r="C623" s="50" t="s">
        <v>1352</v>
      </c>
      <c r="D623" s="50">
        <v>47</v>
      </c>
      <c r="E623" s="50" t="s">
        <v>1359</v>
      </c>
      <c r="F623" s="50">
        <v>4</v>
      </c>
      <c r="G623" s="50">
        <v>5.9</v>
      </c>
      <c r="H623" s="50">
        <v>48</v>
      </c>
      <c r="I623" s="50">
        <v>3.11</v>
      </c>
      <c r="J623" s="50">
        <v>117</v>
      </c>
      <c r="K623" s="50">
        <v>91</v>
      </c>
      <c r="L623" s="50">
        <v>6.09</v>
      </c>
      <c r="M623" s="50">
        <v>6.84</v>
      </c>
      <c r="N623" s="50">
        <v>36</v>
      </c>
      <c r="O623" s="50">
        <v>12.8</v>
      </c>
      <c r="P623" s="50">
        <v>13.4</v>
      </c>
      <c r="Q623" s="50">
        <v>35.5</v>
      </c>
      <c r="R623" s="50">
        <v>42.1</v>
      </c>
      <c r="S623" s="50">
        <v>13.8</v>
      </c>
      <c r="T623" s="50">
        <v>46</v>
      </c>
      <c r="U623" s="50">
        <v>9.4</v>
      </c>
      <c r="V623" s="50">
        <v>61.1</v>
      </c>
      <c r="W623" s="50">
        <v>57</v>
      </c>
      <c r="X623" s="50">
        <v>456</v>
      </c>
      <c r="Y623" s="50">
        <v>12.3</v>
      </c>
      <c r="Z623" s="50">
        <v>36.5</v>
      </c>
      <c r="AA623" s="50">
        <v>5.87</v>
      </c>
      <c r="AB623" s="50"/>
      <c r="AC623" s="50"/>
      <c r="AD623" s="50"/>
      <c r="AE623" s="50"/>
      <c r="AF623" s="50"/>
      <c r="AG623" s="50"/>
      <c r="AH623" s="50"/>
      <c r="AI623" s="50"/>
      <c r="AJ623" s="50"/>
    </row>
    <row r="624" spans="1:36" ht="15" customHeight="1" x14ac:dyDescent="0.25">
      <c r="A624" s="50">
        <v>125</v>
      </c>
      <c r="B624" s="50" t="s">
        <v>925</v>
      </c>
      <c r="C624" s="50" t="s">
        <v>1352</v>
      </c>
      <c r="D624" s="50">
        <v>47</v>
      </c>
      <c r="E624" s="50" t="s">
        <v>1359</v>
      </c>
      <c r="F624" s="50">
        <v>8</v>
      </c>
      <c r="G624" s="50">
        <v>4.9000000000000004</v>
      </c>
      <c r="H624" s="50">
        <v>43</v>
      </c>
      <c r="I624" s="50">
        <v>2.81</v>
      </c>
      <c r="J624" s="50">
        <v>122</v>
      </c>
      <c r="K624" s="50">
        <v>83</v>
      </c>
      <c r="L624" s="50">
        <v>5.25</v>
      </c>
      <c r="M624" s="50">
        <v>5.91</v>
      </c>
      <c r="N624" s="50">
        <v>33</v>
      </c>
      <c r="O624" s="50">
        <v>12</v>
      </c>
      <c r="P624" s="50">
        <v>10.8</v>
      </c>
      <c r="Q624" s="50">
        <v>31</v>
      </c>
      <c r="R624" s="50">
        <v>47.1</v>
      </c>
      <c r="S624" s="50">
        <v>20.3</v>
      </c>
      <c r="T624" s="50">
        <v>54</v>
      </c>
      <c r="U624" s="50">
        <v>7.83</v>
      </c>
      <c r="V624" s="50">
        <v>62.1</v>
      </c>
      <c r="W624" s="50">
        <v>59</v>
      </c>
      <c r="X624" s="50">
        <v>471</v>
      </c>
      <c r="Y624" s="50">
        <v>11.25</v>
      </c>
      <c r="Z624" s="50">
        <v>39</v>
      </c>
      <c r="AA624" s="50">
        <v>5.7</v>
      </c>
      <c r="AB624" s="50"/>
      <c r="AC624" s="50"/>
      <c r="AD624" s="50"/>
      <c r="AE624" s="50"/>
      <c r="AF624" s="50"/>
      <c r="AG624" s="50"/>
      <c r="AH624" s="50"/>
      <c r="AI624" s="50"/>
      <c r="AJ624" s="50"/>
    </row>
    <row r="625" spans="1:36" ht="15" customHeight="1" x14ac:dyDescent="0.25">
      <c r="A625" s="50">
        <v>125</v>
      </c>
      <c r="B625" s="50" t="s">
        <v>925</v>
      </c>
      <c r="C625" s="50" t="s">
        <v>1352</v>
      </c>
      <c r="D625" s="50">
        <v>47</v>
      </c>
      <c r="E625" s="50" t="s">
        <v>1359</v>
      </c>
      <c r="F625" s="50">
        <v>12</v>
      </c>
      <c r="G625" s="50">
        <v>4.3</v>
      </c>
      <c r="H625" s="50">
        <v>41</v>
      </c>
      <c r="I625" s="50">
        <v>2.52</v>
      </c>
      <c r="J625" s="50">
        <v>129</v>
      </c>
      <c r="K625" s="50">
        <v>74</v>
      </c>
      <c r="L625" s="50">
        <v>4.68</v>
      </c>
      <c r="M625" s="50">
        <v>5.49</v>
      </c>
      <c r="N625" s="50">
        <v>31</v>
      </c>
      <c r="O625" s="50">
        <v>11</v>
      </c>
      <c r="P625" s="50">
        <v>11.6</v>
      </c>
      <c r="Q625" s="50">
        <v>28.3</v>
      </c>
      <c r="R625" s="50">
        <v>51.2</v>
      </c>
      <c r="S625" s="50">
        <v>22.3</v>
      </c>
      <c r="T625" s="50">
        <v>59</v>
      </c>
      <c r="U625" s="50">
        <v>7.24</v>
      </c>
      <c r="V625" s="50">
        <v>64.099999999999994</v>
      </c>
      <c r="W625" s="50">
        <v>62</v>
      </c>
      <c r="X625" s="50">
        <v>497</v>
      </c>
      <c r="Y625" s="50">
        <v>10.53</v>
      </c>
      <c r="Z625" s="50">
        <v>37.799999999999997</v>
      </c>
      <c r="AA625" s="50">
        <v>6.2</v>
      </c>
      <c r="AB625" s="50"/>
      <c r="AC625" s="50"/>
      <c r="AD625" s="50"/>
      <c r="AE625" s="50"/>
      <c r="AF625" s="50"/>
      <c r="AG625" s="50"/>
      <c r="AH625" s="50"/>
      <c r="AI625" s="50"/>
      <c r="AJ625" s="50"/>
    </row>
    <row r="626" spans="1:36" ht="15" customHeight="1" x14ac:dyDescent="0.25">
      <c r="A626" s="50">
        <v>125</v>
      </c>
      <c r="B626" s="50" t="s">
        <v>925</v>
      </c>
      <c r="C626" s="50" t="s">
        <v>1352</v>
      </c>
      <c r="D626" s="50">
        <v>47</v>
      </c>
      <c r="E626" s="50" t="s">
        <v>1359</v>
      </c>
      <c r="F626" s="50">
        <v>21</v>
      </c>
      <c r="G626" s="50">
        <v>2.7</v>
      </c>
      <c r="H626" s="50">
        <v>34</v>
      </c>
      <c r="I626" s="50">
        <v>1.82</v>
      </c>
      <c r="J626" s="50">
        <v>142</v>
      </c>
      <c r="K626" s="50">
        <v>55</v>
      </c>
      <c r="L626" s="50">
        <v>2.95</v>
      </c>
      <c r="M626" s="50">
        <v>3.08</v>
      </c>
      <c r="N626" s="50">
        <v>26</v>
      </c>
      <c r="O626" s="50">
        <v>10</v>
      </c>
      <c r="P626" s="50">
        <v>8.1999999999999993</v>
      </c>
      <c r="Q626" s="50">
        <v>26.4</v>
      </c>
      <c r="R626" s="50">
        <v>62.9</v>
      </c>
      <c r="S626" s="50">
        <v>36.5</v>
      </c>
      <c r="T626" s="50">
        <v>68</v>
      </c>
      <c r="U626" s="50">
        <v>6</v>
      </c>
      <c r="V626" s="50">
        <v>65.7</v>
      </c>
      <c r="W626" s="50">
        <v>66</v>
      </c>
      <c r="X626" s="50">
        <v>508</v>
      </c>
      <c r="Y626" s="50">
        <v>10.199999999999999</v>
      </c>
      <c r="Z626" s="50">
        <v>39.6</v>
      </c>
      <c r="AA626" s="50">
        <v>6.87</v>
      </c>
      <c r="AB626" s="50"/>
      <c r="AC626" s="50"/>
      <c r="AD626" s="50"/>
      <c r="AE626" s="50"/>
      <c r="AF626" s="50"/>
      <c r="AG626" s="50"/>
      <c r="AH626" s="50"/>
      <c r="AI626" s="50"/>
      <c r="AJ626" s="50"/>
    </row>
    <row r="627" spans="1:36" ht="15" customHeight="1" x14ac:dyDescent="0.25">
      <c r="A627" s="50">
        <v>126</v>
      </c>
      <c r="B627" s="50" t="s">
        <v>925</v>
      </c>
      <c r="C627" s="50" t="s">
        <v>1357</v>
      </c>
      <c r="D627" s="50">
        <v>37</v>
      </c>
      <c r="E627" s="50" t="s">
        <v>1355</v>
      </c>
      <c r="F627" s="50">
        <v>0</v>
      </c>
      <c r="G627" s="50">
        <v>7.7</v>
      </c>
      <c r="H627" s="50">
        <v>61</v>
      </c>
      <c r="I627" s="50">
        <v>3.14</v>
      </c>
      <c r="J627" s="50">
        <v>98</v>
      </c>
      <c r="K627" s="50">
        <v>100</v>
      </c>
      <c r="L627" s="50">
        <v>7.26</v>
      </c>
      <c r="M627" s="50">
        <v>5.78</v>
      </c>
      <c r="N627" s="50">
        <v>39</v>
      </c>
      <c r="O627" s="50">
        <v>15</v>
      </c>
      <c r="P627" s="50">
        <v>12.6</v>
      </c>
      <c r="Q627" s="50">
        <v>50.5</v>
      </c>
      <c r="R627" s="50">
        <v>28.2</v>
      </c>
      <c r="S627" s="50">
        <v>20.7</v>
      </c>
      <c r="T627" s="50">
        <v>44</v>
      </c>
      <c r="U627" s="50">
        <v>16.39</v>
      </c>
      <c r="V627" s="50">
        <v>54.3</v>
      </c>
      <c r="W627" s="50">
        <v>32</v>
      </c>
      <c r="X627" s="50">
        <v>342</v>
      </c>
      <c r="Y627" s="50">
        <v>14.03</v>
      </c>
      <c r="Z627" s="50">
        <v>32.6</v>
      </c>
      <c r="AA627" s="50">
        <v>5.87</v>
      </c>
      <c r="AB627" s="50"/>
      <c r="AC627" s="50"/>
      <c r="AD627" s="50"/>
      <c r="AE627" s="50"/>
      <c r="AF627" s="50"/>
      <c r="AG627" s="50"/>
      <c r="AH627" s="50"/>
      <c r="AI627" s="50"/>
      <c r="AJ627" s="50"/>
    </row>
    <row r="628" spans="1:36" ht="15" customHeight="1" x14ac:dyDescent="0.25">
      <c r="A628" s="50">
        <v>126</v>
      </c>
      <c r="B628" s="50" t="s">
        <v>925</v>
      </c>
      <c r="C628" s="50" t="s">
        <v>1357</v>
      </c>
      <c r="D628" s="50">
        <v>37</v>
      </c>
      <c r="E628" s="50" t="s">
        <v>1355</v>
      </c>
      <c r="F628" s="50">
        <v>4</v>
      </c>
      <c r="G628" s="50">
        <v>6.7</v>
      </c>
      <c r="H628" s="50">
        <v>58</v>
      </c>
      <c r="I628" s="50">
        <v>2.77</v>
      </c>
      <c r="J628" s="50">
        <v>105</v>
      </c>
      <c r="K628" s="50">
        <v>91</v>
      </c>
      <c r="L628" s="50">
        <v>6.46</v>
      </c>
      <c r="M628" s="50">
        <v>5.24</v>
      </c>
      <c r="N628" s="50">
        <v>35</v>
      </c>
      <c r="O628" s="50">
        <v>13.9</v>
      </c>
      <c r="P628" s="50">
        <v>11.1</v>
      </c>
      <c r="Q628" s="50">
        <v>46.2</v>
      </c>
      <c r="R628" s="50">
        <v>35.9</v>
      </c>
      <c r="S628" s="50">
        <v>26.9</v>
      </c>
      <c r="T628" s="50">
        <v>45</v>
      </c>
      <c r="U628" s="50">
        <v>14.71</v>
      </c>
      <c r="V628" s="50">
        <v>57.7</v>
      </c>
      <c r="W628" s="50">
        <v>37</v>
      </c>
      <c r="X628" s="50">
        <v>375</v>
      </c>
      <c r="Y628" s="50">
        <v>13.22</v>
      </c>
      <c r="Z628" s="50">
        <v>34.700000000000003</v>
      </c>
      <c r="AA628" s="50">
        <v>6.12</v>
      </c>
      <c r="AB628" s="50"/>
      <c r="AC628" s="50"/>
      <c r="AD628" s="50"/>
      <c r="AE628" s="50"/>
      <c r="AF628" s="50"/>
      <c r="AG628" s="50"/>
      <c r="AH628" s="50"/>
      <c r="AI628" s="50"/>
      <c r="AJ628" s="50"/>
    </row>
    <row r="629" spans="1:36" ht="15" customHeight="1" x14ac:dyDescent="0.25">
      <c r="A629" s="50">
        <v>126</v>
      </c>
      <c r="B629" s="50" t="s">
        <v>925</v>
      </c>
      <c r="C629" s="50" t="s">
        <v>1357</v>
      </c>
      <c r="D629" s="50">
        <v>37</v>
      </c>
      <c r="E629" s="50" t="s">
        <v>1355</v>
      </c>
      <c r="F629" s="50">
        <v>8</v>
      </c>
      <c r="G629" s="50">
        <v>6.3</v>
      </c>
      <c r="H629" s="50">
        <v>55</v>
      </c>
      <c r="I629" s="50">
        <v>2.54</v>
      </c>
      <c r="J629" s="50">
        <v>108</v>
      </c>
      <c r="K629" s="50">
        <v>83</v>
      </c>
      <c r="L629" s="50">
        <v>6.14</v>
      </c>
      <c r="M629" s="50">
        <v>5.0599999999999996</v>
      </c>
      <c r="N629" s="50">
        <v>36</v>
      </c>
      <c r="O629" s="50">
        <v>13</v>
      </c>
      <c r="P629" s="50">
        <v>11.8</v>
      </c>
      <c r="Q629" s="50">
        <v>42.4</v>
      </c>
      <c r="R629" s="50">
        <v>39.6</v>
      </c>
      <c r="S629" s="50">
        <v>23.5</v>
      </c>
      <c r="T629" s="50">
        <v>47</v>
      </c>
      <c r="U629" s="50">
        <v>15.43</v>
      </c>
      <c r="V629" s="50">
        <v>56.5</v>
      </c>
      <c r="W629" s="50">
        <v>45</v>
      </c>
      <c r="X629" s="50">
        <v>402</v>
      </c>
      <c r="Y629" s="50">
        <v>12.88</v>
      </c>
      <c r="Z629" s="50">
        <v>36.9</v>
      </c>
      <c r="AA629" s="50">
        <v>5.83</v>
      </c>
      <c r="AB629" s="50"/>
      <c r="AC629" s="50"/>
      <c r="AD629" s="50"/>
      <c r="AE629" s="50"/>
      <c r="AF629" s="50"/>
      <c r="AG629" s="50"/>
      <c r="AH629" s="50"/>
      <c r="AI629" s="50"/>
      <c r="AJ629" s="50"/>
    </row>
    <row r="630" spans="1:36" ht="15" customHeight="1" x14ac:dyDescent="0.25">
      <c r="A630" s="50">
        <v>126</v>
      </c>
      <c r="B630" s="50" t="s">
        <v>925</v>
      </c>
      <c r="C630" s="50" t="s">
        <v>1357</v>
      </c>
      <c r="D630" s="50">
        <v>37</v>
      </c>
      <c r="E630" s="50" t="s">
        <v>1355</v>
      </c>
      <c r="F630" s="50">
        <v>12</v>
      </c>
      <c r="G630" s="50">
        <v>5.3</v>
      </c>
      <c r="H630" s="50">
        <v>53</v>
      </c>
      <c r="I630" s="50">
        <v>2.23</v>
      </c>
      <c r="J630" s="50">
        <v>113</v>
      </c>
      <c r="K630" s="50">
        <v>74</v>
      </c>
      <c r="L630" s="50">
        <v>5.62</v>
      </c>
      <c r="M630" s="50">
        <v>4.7300000000000004</v>
      </c>
      <c r="N630" s="50">
        <v>34</v>
      </c>
      <c r="O630" s="50">
        <v>11.6</v>
      </c>
      <c r="P630" s="50">
        <v>11</v>
      </c>
      <c r="Q630" s="50">
        <v>41.3</v>
      </c>
      <c r="R630" s="50">
        <v>41.8</v>
      </c>
      <c r="S630" s="50">
        <v>31.2</v>
      </c>
      <c r="T630" s="50">
        <v>52</v>
      </c>
      <c r="U630" s="50">
        <v>13.6</v>
      </c>
      <c r="V630" s="50">
        <v>59.1</v>
      </c>
      <c r="W630" s="50">
        <v>47</v>
      </c>
      <c r="X630" s="50">
        <v>405</v>
      </c>
      <c r="Y630" s="50">
        <v>12.28</v>
      </c>
      <c r="Z630" s="50">
        <v>37.4</v>
      </c>
      <c r="AA630" s="50">
        <v>6.01</v>
      </c>
      <c r="AB630" s="50"/>
      <c r="AC630" s="50"/>
      <c r="AD630" s="50"/>
      <c r="AE630" s="50"/>
      <c r="AF630" s="50"/>
      <c r="AG630" s="50"/>
      <c r="AH630" s="50"/>
      <c r="AI630" s="50"/>
      <c r="AJ630" s="50"/>
    </row>
    <row r="631" spans="1:36" ht="15" customHeight="1" x14ac:dyDescent="0.25">
      <c r="A631" s="50">
        <v>126</v>
      </c>
      <c r="B631" s="50" t="s">
        <v>925</v>
      </c>
      <c r="C631" s="50" t="s">
        <v>1357</v>
      </c>
      <c r="D631" s="50">
        <v>37</v>
      </c>
      <c r="E631" s="50" t="s">
        <v>1355</v>
      </c>
      <c r="F631" s="50">
        <v>21</v>
      </c>
      <c r="G631" s="50">
        <v>3.3</v>
      </c>
      <c r="H631" s="50">
        <v>43</v>
      </c>
      <c r="I631" s="50">
        <v>1.65</v>
      </c>
      <c r="J631" s="50">
        <v>126</v>
      </c>
      <c r="K631" s="50">
        <v>55</v>
      </c>
      <c r="L631" s="50">
        <v>3.32</v>
      </c>
      <c r="M631" s="50">
        <v>3.21</v>
      </c>
      <c r="N631" s="50">
        <v>24</v>
      </c>
      <c r="O631" s="50">
        <v>9.9</v>
      </c>
      <c r="P631" s="50">
        <v>9.8000000000000007</v>
      </c>
      <c r="Q631" s="50">
        <v>31.7</v>
      </c>
      <c r="R631" s="50">
        <v>54.4</v>
      </c>
      <c r="S631" s="50">
        <v>33</v>
      </c>
      <c r="T631" s="50">
        <v>67</v>
      </c>
      <c r="U631" s="50">
        <v>10.81</v>
      </c>
      <c r="V631" s="50">
        <v>62.7</v>
      </c>
      <c r="W631" s="50">
        <v>63</v>
      </c>
      <c r="X631" s="50">
        <v>472</v>
      </c>
      <c r="Y631" s="50">
        <v>11</v>
      </c>
      <c r="Z631" s="50">
        <v>41.3</v>
      </c>
      <c r="AA631" s="50">
        <v>6.87</v>
      </c>
      <c r="AB631" s="50"/>
      <c r="AC631" s="50"/>
      <c r="AD631" s="50"/>
      <c r="AE631" s="50"/>
      <c r="AF631" s="50"/>
      <c r="AG631" s="50"/>
      <c r="AH631" s="50"/>
      <c r="AI631" s="50"/>
      <c r="AJ631" s="50"/>
    </row>
    <row r="632" spans="1:36" ht="15" customHeight="1" x14ac:dyDescent="0.25">
      <c r="A632" s="50">
        <v>127</v>
      </c>
      <c r="B632" s="50" t="s">
        <v>925</v>
      </c>
      <c r="C632" s="50" t="s">
        <v>1352</v>
      </c>
      <c r="D632" s="50">
        <v>30</v>
      </c>
      <c r="E632" s="50" t="s">
        <v>1359</v>
      </c>
      <c r="F632" s="50">
        <v>0</v>
      </c>
      <c r="G632" s="50">
        <v>7.6</v>
      </c>
      <c r="H632" s="50">
        <v>46</v>
      </c>
      <c r="I632" s="50">
        <v>3.38</v>
      </c>
      <c r="J632" s="50">
        <v>98</v>
      </c>
      <c r="K632" s="50">
        <v>100</v>
      </c>
      <c r="L632" s="50">
        <v>7.03</v>
      </c>
      <c r="M632" s="50">
        <v>6.1</v>
      </c>
      <c r="N632" s="50">
        <v>52</v>
      </c>
      <c r="O632" s="50">
        <v>12.8</v>
      </c>
      <c r="P632" s="50">
        <v>14</v>
      </c>
      <c r="Q632" s="50">
        <v>55.2</v>
      </c>
      <c r="R632" s="50">
        <v>31.8</v>
      </c>
      <c r="S632" s="50">
        <v>26.8</v>
      </c>
      <c r="T632" s="50">
        <v>39</v>
      </c>
      <c r="U632" s="50">
        <v>5.84</v>
      </c>
      <c r="V632" s="50">
        <v>58.3</v>
      </c>
      <c r="W632" s="50">
        <v>43</v>
      </c>
      <c r="X632" s="50">
        <v>417</v>
      </c>
      <c r="Y632" s="50">
        <v>15.12</v>
      </c>
      <c r="Z632" s="50">
        <v>25</v>
      </c>
      <c r="AA632" s="50">
        <v>4.5199999999999996</v>
      </c>
      <c r="AB632" s="50"/>
      <c r="AC632" s="50"/>
      <c r="AD632" s="50"/>
      <c r="AE632" s="50"/>
      <c r="AF632" s="50"/>
      <c r="AG632" s="50"/>
      <c r="AH632" s="50"/>
      <c r="AI632" s="50"/>
      <c r="AJ632" s="50"/>
    </row>
    <row r="633" spans="1:36" ht="15" customHeight="1" x14ac:dyDescent="0.25">
      <c r="A633" s="50">
        <v>127</v>
      </c>
      <c r="B633" s="50" t="s">
        <v>925</v>
      </c>
      <c r="C633" s="50" t="s">
        <v>1352</v>
      </c>
      <c r="D633" s="50">
        <v>30</v>
      </c>
      <c r="E633" s="50" t="s">
        <v>1359</v>
      </c>
      <c r="F633" s="50">
        <v>4</v>
      </c>
      <c r="G633" s="50">
        <v>6.8</v>
      </c>
      <c r="H633" s="50">
        <v>44</v>
      </c>
      <c r="I633" s="50">
        <v>3.01</v>
      </c>
      <c r="J633" s="50">
        <v>103</v>
      </c>
      <c r="K633" s="50">
        <v>91</v>
      </c>
      <c r="L633" s="50">
        <v>6.22</v>
      </c>
      <c r="M633" s="50">
        <v>5.65</v>
      </c>
      <c r="N633" s="50">
        <v>46</v>
      </c>
      <c r="O633" s="50">
        <v>11.9</v>
      </c>
      <c r="P633" s="50">
        <v>13.2</v>
      </c>
      <c r="Q633" s="50">
        <v>51.5</v>
      </c>
      <c r="R633" s="50">
        <v>34.799999999999997</v>
      </c>
      <c r="S633" s="50">
        <v>29.9</v>
      </c>
      <c r="T633" s="50">
        <v>41</v>
      </c>
      <c r="U633" s="50">
        <v>5.39</v>
      </c>
      <c r="V633" s="50">
        <v>59.3</v>
      </c>
      <c r="W633" s="50">
        <v>50</v>
      </c>
      <c r="X633" s="50">
        <v>431</v>
      </c>
      <c r="Y633" s="50">
        <v>13.31</v>
      </c>
      <c r="Z633" s="50">
        <v>26.7</v>
      </c>
      <c r="AA633" s="50">
        <v>4.83</v>
      </c>
      <c r="AB633" s="50"/>
      <c r="AC633" s="50"/>
      <c r="AD633" s="50"/>
      <c r="AE633" s="50"/>
      <c r="AF633" s="50"/>
      <c r="AG633" s="50"/>
      <c r="AH633" s="50"/>
      <c r="AI633" s="50"/>
      <c r="AJ633" s="50"/>
    </row>
    <row r="634" spans="1:36" ht="15" customHeight="1" x14ac:dyDescent="0.25">
      <c r="A634" s="50">
        <v>127</v>
      </c>
      <c r="B634" s="50" t="s">
        <v>925</v>
      </c>
      <c r="C634" s="50" t="s">
        <v>1352</v>
      </c>
      <c r="D634" s="50">
        <v>30</v>
      </c>
      <c r="E634" s="50" t="s">
        <v>1359</v>
      </c>
      <c r="F634" s="50">
        <v>8</v>
      </c>
      <c r="G634" s="50">
        <v>5.6</v>
      </c>
      <c r="H634" s="50">
        <v>42</v>
      </c>
      <c r="I634" s="50">
        <v>2.76</v>
      </c>
      <c r="J634" s="50">
        <v>110</v>
      </c>
      <c r="K634" s="50">
        <v>83</v>
      </c>
      <c r="L634" s="50">
        <v>5.24</v>
      </c>
      <c r="M634" s="50">
        <v>5.29</v>
      </c>
      <c r="N634" s="50">
        <v>42</v>
      </c>
      <c r="O634" s="50">
        <v>10.8</v>
      </c>
      <c r="P634" s="50">
        <v>10.9</v>
      </c>
      <c r="Q634" s="50">
        <v>43.9</v>
      </c>
      <c r="R634" s="50">
        <v>45</v>
      </c>
      <c r="S634" s="50">
        <v>31.6</v>
      </c>
      <c r="T634" s="50">
        <v>43</v>
      </c>
      <c r="U634" s="50">
        <v>5.05</v>
      </c>
      <c r="V634" s="50">
        <v>65.599999999999994</v>
      </c>
      <c r="W634" s="50">
        <v>56</v>
      </c>
      <c r="X634" s="50">
        <v>454</v>
      </c>
      <c r="Y634" s="50">
        <v>13.05</v>
      </c>
      <c r="Z634" s="50">
        <v>27.9</v>
      </c>
      <c r="AA634" s="50">
        <v>4.84</v>
      </c>
      <c r="AB634" s="50"/>
      <c r="AC634" s="50"/>
      <c r="AD634" s="50"/>
      <c r="AE634" s="50"/>
      <c r="AF634" s="50"/>
      <c r="AG634" s="50"/>
      <c r="AH634" s="50"/>
      <c r="AI634" s="50"/>
      <c r="AJ634" s="50"/>
    </row>
    <row r="635" spans="1:36" ht="15" customHeight="1" x14ac:dyDescent="0.25">
      <c r="A635" s="50">
        <v>127</v>
      </c>
      <c r="B635" s="50" t="s">
        <v>925</v>
      </c>
      <c r="C635" s="50" t="s">
        <v>1352</v>
      </c>
      <c r="D635" s="50">
        <v>30</v>
      </c>
      <c r="E635" s="50" t="s">
        <v>1359</v>
      </c>
      <c r="F635" s="50">
        <v>12</v>
      </c>
      <c r="G635" s="50">
        <v>4.9000000000000004</v>
      </c>
      <c r="H635" s="50">
        <v>37</v>
      </c>
      <c r="I635" s="50">
        <v>2.31</v>
      </c>
      <c r="J635" s="50">
        <v>110</v>
      </c>
      <c r="K635" s="50">
        <v>74</v>
      </c>
      <c r="L635" s="50">
        <v>4.84</v>
      </c>
      <c r="M635" s="50">
        <v>4.63</v>
      </c>
      <c r="N635" s="50">
        <v>39</v>
      </c>
      <c r="O635" s="50">
        <v>10.8</v>
      </c>
      <c r="P635" s="50">
        <v>10.199999999999999</v>
      </c>
      <c r="Q635" s="50">
        <v>44.4</v>
      </c>
      <c r="R635" s="50">
        <v>50.2</v>
      </c>
      <c r="S635" s="50">
        <v>33.200000000000003</v>
      </c>
      <c r="T635" s="50">
        <v>54</v>
      </c>
      <c r="U635" s="50">
        <v>5.77</v>
      </c>
      <c r="V635" s="50">
        <v>65.7</v>
      </c>
      <c r="W635" s="50">
        <v>62</v>
      </c>
      <c r="X635" s="50">
        <v>447</v>
      </c>
      <c r="Y635" s="50">
        <v>12.82</v>
      </c>
      <c r="Z635" s="50">
        <v>29.2</v>
      </c>
      <c r="AA635" s="50">
        <v>4.8899999999999997</v>
      </c>
      <c r="AB635" s="50"/>
      <c r="AC635" s="50"/>
      <c r="AD635" s="50"/>
      <c r="AE635" s="50"/>
      <c r="AF635" s="50"/>
      <c r="AG635" s="50"/>
      <c r="AH635" s="50"/>
      <c r="AI635" s="50"/>
      <c r="AJ635" s="50"/>
    </row>
    <row r="636" spans="1:36" ht="15" customHeight="1" x14ac:dyDescent="0.25">
      <c r="A636" s="50">
        <v>127</v>
      </c>
      <c r="B636" s="50" t="s">
        <v>925</v>
      </c>
      <c r="C636" s="50" t="s">
        <v>1352</v>
      </c>
      <c r="D636" s="50">
        <v>30</v>
      </c>
      <c r="E636" s="50" t="s">
        <v>1359</v>
      </c>
      <c r="F636" s="50">
        <v>21</v>
      </c>
      <c r="G636" s="50">
        <v>3.1</v>
      </c>
      <c r="H636" s="50">
        <v>28</v>
      </c>
      <c r="I636" s="50">
        <v>1.7</v>
      </c>
      <c r="J636" s="50">
        <v>118</v>
      </c>
      <c r="K636" s="50">
        <v>55</v>
      </c>
      <c r="L636" s="50">
        <v>2.98</v>
      </c>
      <c r="M636" s="50">
        <v>3.35</v>
      </c>
      <c r="N636" s="50">
        <v>31</v>
      </c>
      <c r="O636" s="50">
        <v>10.3</v>
      </c>
      <c r="P636" s="50">
        <v>9.8000000000000007</v>
      </c>
      <c r="Q636" s="50">
        <v>34.299999999999997</v>
      </c>
      <c r="R636" s="50">
        <v>62.7</v>
      </c>
      <c r="S636" s="50">
        <v>40.299999999999997</v>
      </c>
      <c r="T636" s="50">
        <v>57</v>
      </c>
      <c r="U636" s="50">
        <v>5.97</v>
      </c>
      <c r="V636" s="50">
        <v>70.900000000000006</v>
      </c>
      <c r="W636" s="50">
        <v>73</v>
      </c>
      <c r="X636" s="50">
        <v>476</v>
      </c>
      <c r="Y636" s="50">
        <v>10.54</v>
      </c>
      <c r="Z636" s="50">
        <v>36</v>
      </c>
      <c r="AA636" s="50">
        <v>6.09</v>
      </c>
      <c r="AB636" s="50"/>
      <c r="AC636" s="50"/>
      <c r="AD636" s="50"/>
      <c r="AE636" s="50"/>
      <c r="AF636" s="50"/>
      <c r="AG636" s="50"/>
      <c r="AH636" s="50"/>
      <c r="AI636" s="50"/>
      <c r="AJ636" s="50"/>
    </row>
    <row r="637" spans="1:36" ht="15" customHeight="1" x14ac:dyDescent="0.25">
      <c r="A637" s="50">
        <v>128</v>
      </c>
      <c r="B637" s="50" t="s">
        <v>925</v>
      </c>
      <c r="C637" s="50" t="s">
        <v>1352</v>
      </c>
      <c r="D637" s="50">
        <v>36</v>
      </c>
      <c r="E637" s="50" t="s">
        <v>1360</v>
      </c>
      <c r="F637" s="50">
        <v>0</v>
      </c>
      <c r="G637" s="50">
        <v>6.3</v>
      </c>
      <c r="H637" s="50">
        <v>54</v>
      </c>
      <c r="I637" s="50">
        <v>3.73</v>
      </c>
      <c r="J637" s="50">
        <v>89</v>
      </c>
      <c r="K637" s="50">
        <v>100</v>
      </c>
      <c r="L637" s="50">
        <v>6.87</v>
      </c>
      <c r="M637" s="50">
        <v>5.33</v>
      </c>
      <c r="N637" s="50">
        <v>44</v>
      </c>
      <c r="O637" s="50">
        <v>14.7</v>
      </c>
      <c r="P637" s="50">
        <v>11.2</v>
      </c>
      <c r="Q637" s="50">
        <v>28.6</v>
      </c>
      <c r="R637" s="50">
        <v>34</v>
      </c>
      <c r="S637" s="50">
        <v>18</v>
      </c>
      <c r="T637" s="50">
        <v>28</v>
      </c>
      <c r="U637" s="50">
        <v>9.76</v>
      </c>
      <c r="V637" s="50">
        <v>55.2</v>
      </c>
      <c r="W637" s="50">
        <v>42</v>
      </c>
      <c r="X637" s="50">
        <v>454</v>
      </c>
      <c r="Y637" s="50">
        <v>15.91</v>
      </c>
      <c r="Z637" s="50">
        <v>31</v>
      </c>
      <c r="AA637" s="50">
        <v>5.57</v>
      </c>
      <c r="AB637" s="50"/>
      <c r="AC637" s="50"/>
      <c r="AD637" s="50"/>
      <c r="AE637" s="50"/>
      <c r="AF637" s="50"/>
      <c r="AG637" s="50"/>
      <c r="AH637" s="50"/>
      <c r="AI637" s="50"/>
      <c r="AJ637" s="50"/>
    </row>
    <row r="638" spans="1:36" ht="15" customHeight="1" x14ac:dyDescent="0.25">
      <c r="A638" s="50">
        <v>128</v>
      </c>
      <c r="B638" s="50" t="s">
        <v>925</v>
      </c>
      <c r="C638" s="50" t="s">
        <v>1352</v>
      </c>
      <c r="D638" s="50">
        <v>36</v>
      </c>
      <c r="E638" s="50" t="s">
        <v>1360</v>
      </c>
      <c r="F638" s="50">
        <v>4</v>
      </c>
      <c r="G638" s="50">
        <v>5.7</v>
      </c>
      <c r="H638" s="50">
        <v>52</v>
      </c>
      <c r="I638" s="50">
        <v>3.42</v>
      </c>
      <c r="J638" s="50">
        <v>92</v>
      </c>
      <c r="K638" s="50">
        <v>91</v>
      </c>
      <c r="L638" s="50">
        <v>6.38</v>
      </c>
      <c r="M638" s="50">
        <v>4.99</v>
      </c>
      <c r="N638" s="50">
        <v>40</v>
      </c>
      <c r="O638" s="50">
        <v>14.2</v>
      </c>
      <c r="P638" s="50">
        <v>9.8000000000000007</v>
      </c>
      <c r="Q638" s="50">
        <v>30.7</v>
      </c>
      <c r="R638" s="50">
        <v>38.5</v>
      </c>
      <c r="S638" s="50">
        <v>19.600000000000001</v>
      </c>
      <c r="T638" s="50">
        <v>33</v>
      </c>
      <c r="U638" s="50">
        <v>10.29</v>
      </c>
      <c r="V638" s="50">
        <v>58.2</v>
      </c>
      <c r="W638" s="50">
        <v>45</v>
      </c>
      <c r="X638" s="50">
        <v>467</v>
      </c>
      <c r="Y638" s="50">
        <v>15.14</v>
      </c>
      <c r="Z638" s="50">
        <v>33.5</v>
      </c>
      <c r="AA638" s="50">
        <v>5.93</v>
      </c>
      <c r="AB638" s="50"/>
      <c r="AC638" s="50"/>
      <c r="AD638" s="50"/>
      <c r="AE638" s="50"/>
      <c r="AF638" s="50"/>
      <c r="AG638" s="50"/>
      <c r="AH638" s="50"/>
      <c r="AI638" s="50"/>
      <c r="AJ638" s="50"/>
    </row>
    <row r="639" spans="1:36" ht="15" customHeight="1" x14ac:dyDescent="0.25">
      <c r="A639" s="50">
        <v>128</v>
      </c>
      <c r="B639" s="50" t="s">
        <v>925</v>
      </c>
      <c r="C639" s="50" t="s">
        <v>1352</v>
      </c>
      <c r="D639" s="50">
        <v>36</v>
      </c>
      <c r="E639" s="50" t="s">
        <v>1360</v>
      </c>
      <c r="F639" s="50">
        <v>8</v>
      </c>
      <c r="G639" s="50">
        <v>4.7</v>
      </c>
      <c r="H639" s="50">
        <v>49</v>
      </c>
      <c r="I639" s="50">
        <v>3.09</v>
      </c>
      <c r="J639" s="50">
        <v>94</v>
      </c>
      <c r="K639" s="50">
        <v>83</v>
      </c>
      <c r="L639" s="50">
        <v>5.57</v>
      </c>
      <c r="M639" s="50">
        <v>4.55</v>
      </c>
      <c r="N639" s="50">
        <v>37</v>
      </c>
      <c r="O639" s="50">
        <v>12.9</v>
      </c>
      <c r="P639" s="50">
        <v>8.1</v>
      </c>
      <c r="Q639" s="50">
        <v>26.7</v>
      </c>
      <c r="R639" s="50">
        <v>46.1</v>
      </c>
      <c r="S639" s="50">
        <v>23.8</v>
      </c>
      <c r="T639" s="50">
        <v>46</v>
      </c>
      <c r="U639" s="50">
        <v>8.43</v>
      </c>
      <c r="V639" s="50">
        <v>58.3</v>
      </c>
      <c r="W639" s="50">
        <v>49</v>
      </c>
      <c r="X639" s="50">
        <v>495</v>
      </c>
      <c r="Y639" s="50">
        <v>13.03</v>
      </c>
      <c r="Z639" s="50">
        <v>35</v>
      </c>
      <c r="AA639" s="50">
        <v>5.7</v>
      </c>
      <c r="AB639" s="50"/>
      <c r="AC639" s="50"/>
      <c r="AD639" s="50"/>
      <c r="AE639" s="50"/>
      <c r="AF639" s="50"/>
      <c r="AG639" s="50"/>
      <c r="AH639" s="50"/>
      <c r="AI639" s="50"/>
      <c r="AJ639" s="50"/>
    </row>
    <row r="640" spans="1:36" ht="15" customHeight="1" x14ac:dyDescent="0.25">
      <c r="A640" s="50">
        <v>128</v>
      </c>
      <c r="B640" s="50" t="s">
        <v>925</v>
      </c>
      <c r="C640" s="50" t="s">
        <v>1352</v>
      </c>
      <c r="D640" s="50">
        <v>36</v>
      </c>
      <c r="E640" s="50" t="s">
        <v>1360</v>
      </c>
      <c r="F640" s="50">
        <v>12</v>
      </c>
      <c r="G640" s="50">
        <v>4.2</v>
      </c>
      <c r="H640" s="50">
        <v>45</v>
      </c>
      <c r="I640" s="50">
        <v>2.64</v>
      </c>
      <c r="J640" s="50">
        <v>99</v>
      </c>
      <c r="K640" s="50">
        <v>74</v>
      </c>
      <c r="L640" s="50">
        <v>4.9000000000000004</v>
      </c>
      <c r="M640" s="50">
        <v>3.78</v>
      </c>
      <c r="N640" s="50">
        <v>34</v>
      </c>
      <c r="O640" s="50">
        <v>11.1</v>
      </c>
      <c r="P640" s="50">
        <v>7.9</v>
      </c>
      <c r="Q640" s="50">
        <v>22.4</v>
      </c>
      <c r="R640" s="50">
        <v>49.4</v>
      </c>
      <c r="S640" s="50">
        <v>23.6</v>
      </c>
      <c r="T640" s="50">
        <v>46</v>
      </c>
      <c r="U640" s="50">
        <v>8.16</v>
      </c>
      <c r="V640" s="50">
        <v>60.6</v>
      </c>
      <c r="W640" s="50">
        <v>57</v>
      </c>
      <c r="X640" s="50">
        <v>493</v>
      </c>
      <c r="Y640" s="50">
        <v>12.33</v>
      </c>
      <c r="Z640" s="50">
        <v>35.6</v>
      </c>
      <c r="AA640" s="50">
        <v>6.63</v>
      </c>
      <c r="AB640" s="50"/>
      <c r="AC640" s="50"/>
      <c r="AD640" s="50"/>
      <c r="AE640" s="50"/>
      <c r="AF640" s="50"/>
      <c r="AG640" s="50"/>
      <c r="AH640" s="50"/>
      <c r="AI640" s="50"/>
      <c r="AJ640" s="50"/>
    </row>
    <row r="641" spans="1:36" ht="15" customHeight="1" x14ac:dyDescent="0.25">
      <c r="A641" s="50">
        <v>128</v>
      </c>
      <c r="B641" s="50" t="s">
        <v>925</v>
      </c>
      <c r="C641" s="50" t="s">
        <v>1352</v>
      </c>
      <c r="D641" s="50">
        <v>36</v>
      </c>
      <c r="E641" s="50" t="s">
        <v>1360</v>
      </c>
      <c r="F641" s="50">
        <v>21</v>
      </c>
      <c r="G641" s="50">
        <v>2.8</v>
      </c>
      <c r="H641" s="50">
        <v>39</v>
      </c>
      <c r="I641" s="50">
        <v>1.88</v>
      </c>
      <c r="J641" s="50">
        <v>110</v>
      </c>
      <c r="K641" s="50">
        <v>55</v>
      </c>
      <c r="L641" s="50">
        <v>3.69</v>
      </c>
      <c r="M641" s="50">
        <v>3.14</v>
      </c>
      <c r="N641" s="50">
        <v>29</v>
      </c>
      <c r="O641" s="50">
        <v>12.2</v>
      </c>
      <c r="P641" s="50">
        <v>7.2</v>
      </c>
      <c r="Q641" s="50">
        <v>21.9</v>
      </c>
      <c r="R641" s="50">
        <v>63.6</v>
      </c>
      <c r="S641" s="50">
        <v>33</v>
      </c>
      <c r="T641" s="50">
        <v>56</v>
      </c>
      <c r="U641" s="50">
        <v>6.4</v>
      </c>
      <c r="V641" s="50">
        <v>65.400000000000006</v>
      </c>
      <c r="W641" s="50">
        <v>67</v>
      </c>
      <c r="X641" s="50">
        <v>512</v>
      </c>
      <c r="Y641" s="50">
        <v>10.53</v>
      </c>
      <c r="Z641" s="50">
        <v>42.2</v>
      </c>
      <c r="AA641" s="50">
        <v>6.17</v>
      </c>
      <c r="AB641" s="50"/>
      <c r="AC641" s="50"/>
      <c r="AD641" s="50"/>
      <c r="AE641" s="50"/>
      <c r="AF641" s="50"/>
      <c r="AG641" s="50"/>
      <c r="AH641" s="50"/>
      <c r="AI641" s="50"/>
      <c r="AJ641" s="50"/>
    </row>
    <row r="642" spans="1:36" ht="15" customHeight="1" x14ac:dyDescent="0.25">
      <c r="A642" s="50">
        <v>129</v>
      </c>
      <c r="B642" s="50" t="s">
        <v>926</v>
      </c>
      <c r="C642" s="50" t="s">
        <v>1352</v>
      </c>
      <c r="D642" s="50">
        <v>44</v>
      </c>
      <c r="E642" s="50" t="s">
        <v>1353</v>
      </c>
      <c r="F642" s="50">
        <v>0</v>
      </c>
      <c r="G642" s="50">
        <v>6.1</v>
      </c>
      <c r="H642" s="50">
        <v>48</v>
      </c>
      <c r="I642" s="50">
        <v>3.93</v>
      </c>
      <c r="J642" s="50">
        <v>88</v>
      </c>
      <c r="K642" s="50">
        <v>100</v>
      </c>
      <c r="L642" s="50">
        <v>6.29</v>
      </c>
      <c r="M642" s="50">
        <v>5.77</v>
      </c>
      <c r="N642" s="50">
        <v>50</v>
      </c>
      <c r="O642" s="50">
        <v>14.5</v>
      </c>
      <c r="P642" s="50">
        <v>9.6999999999999993</v>
      </c>
      <c r="Q642" s="50">
        <v>38.5</v>
      </c>
      <c r="R642" s="50">
        <v>38.5</v>
      </c>
      <c r="S642" s="50">
        <v>15.4</v>
      </c>
      <c r="T642" s="50">
        <v>30</v>
      </c>
      <c r="U642" s="50">
        <v>5.0999999999999996</v>
      </c>
      <c r="V642" s="50">
        <v>50.5</v>
      </c>
      <c r="W642" s="50">
        <v>28</v>
      </c>
      <c r="X642" s="50">
        <v>371</v>
      </c>
      <c r="Y642" s="50">
        <v>11.88</v>
      </c>
      <c r="Z642" s="50">
        <v>17.7</v>
      </c>
      <c r="AA642" s="50">
        <v>6.53</v>
      </c>
      <c r="AB642" s="50"/>
      <c r="AC642" s="50"/>
      <c r="AD642" s="50"/>
      <c r="AE642" s="50"/>
      <c r="AF642" s="50"/>
      <c r="AG642" s="50"/>
      <c r="AH642" s="50"/>
      <c r="AI642" s="50"/>
      <c r="AJ642" s="50"/>
    </row>
    <row r="643" spans="1:36" ht="15" customHeight="1" x14ac:dyDescent="0.25">
      <c r="A643" s="50">
        <v>129</v>
      </c>
      <c r="B643" s="50" t="s">
        <v>926</v>
      </c>
      <c r="C643" s="50" t="s">
        <v>1352</v>
      </c>
      <c r="D643" s="50">
        <v>44</v>
      </c>
      <c r="E643" s="50" t="s">
        <v>1353</v>
      </c>
      <c r="F643" s="50">
        <v>4</v>
      </c>
      <c r="G643" s="50">
        <v>6</v>
      </c>
      <c r="H643" s="50">
        <v>46</v>
      </c>
      <c r="I643" s="50">
        <v>3.81</v>
      </c>
      <c r="J643" s="50">
        <v>93</v>
      </c>
      <c r="K643" s="50">
        <v>97</v>
      </c>
      <c r="L643" s="50">
        <v>6.26</v>
      </c>
      <c r="M643" s="50">
        <v>5.62</v>
      </c>
      <c r="N643" s="50">
        <v>51</v>
      </c>
      <c r="O643" s="50">
        <v>14.1</v>
      </c>
      <c r="P643" s="50">
        <v>8.3000000000000007</v>
      </c>
      <c r="Q643" s="50">
        <v>35.299999999999997</v>
      </c>
      <c r="R643" s="50">
        <v>42.7</v>
      </c>
      <c r="S643" s="50">
        <v>12.5</v>
      </c>
      <c r="T643" s="50">
        <v>31</v>
      </c>
      <c r="U643" s="50">
        <v>5.2</v>
      </c>
      <c r="V643" s="50">
        <v>51.2</v>
      </c>
      <c r="W643" s="50">
        <v>27</v>
      </c>
      <c r="X643" s="50">
        <v>366</v>
      </c>
      <c r="Y643" s="50">
        <v>11.86</v>
      </c>
      <c r="Z643" s="50">
        <v>16.600000000000001</v>
      </c>
      <c r="AA643" s="50">
        <v>6.45</v>
      </c>
      <c r="AB643" s="50"/>
      <c r="AC643" s="50"/>
      <c r="AD643" s="50"/>
      <c r="AE643" s="50"/>
      <c r="AF643" s="50"/>
      <c r="AG643" s="50"/>
      <c r="AH643" s="50"/>
      <c r="AI643" s="50"/>
      <c r="AJ643" s="50"/>
    </row>
    <row r="644" spans="1:36" ht="15" customHeight="1" x14ac:dyDescent="0.25">
      <c r="A644" s="50">
        <v>129</v>
      </c>
      <c r="B644" s="50" t="s">
        <v>926</v>
      </c>
      <c r="C644" s="50" t="s">
        <v>1352</v>
      </c>
      <c r="D644" s="50">
        <v>44</v>
      </c>
      <c r="E644" s="50" t="s">
        <v>1353</v>
      </c>
      <c r="F644" s="50">
        <v>8</v>
      </c>
      <c r="G644" s="50">
        <v>5.7</v>
      </c>
      <c r="H644" s="50">
        <v>46</v>
      </c>
      <c r="I644" s="50">
        <v>3.67</v>
      </c>
      <c r="J644" s="50">
        <v>93</v>
      </c>
      <c r="K644" s="50">
        <v>94</v>
      </c>
      <c r="L644" s="50">
        <v>5.99</v>
      </c>
      <c r="M644" s="50">
        <v>5.45</v>
      </c>
      <c r="N644" s="50">
        <v>50</v>
      </c>
      <c r="O644" s="50">
        <v>13.7</v>
      </c>
      <c r="P644" s="50">
        <v>9.6999999999999993</v>
      </c>
      <c r="Q644" s="50">
        <v>37.9</v>
      </c>
      <c r="R644" s="50">
        <v>41.9</v>
      </c>
      <c r="S644" s="50">
        <v>15.1</v>
      </c>
      <c r="T644" s="50">
        <v>34</v>
      </c>
      <c r="U644" s="50">
        <v>5.21</v>
      </c>
      <c r="V644" s="50">
        <v>52.6</v>
      </c>
      <c r="W644" s="50">
        <v>29</v>
      </c>
      <c r="X644" s="50">
        <v>373</v>
      </c>
      <c r="Y644" s="50">
        <v>11.96</v>
      </c>
      <c r="Z644" s="50">
        <v>19</v>
      </c>
      <c r="AA644" s="50">
        <v>6.35</v>
      </c>
      <c r="AB644" s="50"/>
      <c r="AC644" s="50"/>
      <c r="AD644" s="50"/>
      <c r="AE644" s="50"/>
      <c r="AF644" s="50"/>
      <c r="AG644" s="50"/>
      <c r="AH644" s="50"/>
      <c r="AI644" s="50"/>
      <c r="AJ644" s="50"/>
    </row>
    <row r="645" spans="1:36" ht="15" customHeight="1" x14ac:dyDescent="0.25">
      <c r="A645" s="50">
        <v>129</v>
      </c>
      <c r="B645" s="50" t="s">
        <v>926</v>
      </c>
      <c r="C645" s="50" t="s">
        <v>1352</v>
      </c>
      <c r="D645" s="50">
        <v>44</v>
      </c>
      <c r="E645" s="50" t="s">
        <v>1353</v>
      </c>
      <c r="F645" s="50">
        <v>12</v>
      </c>
      <c r="G645" s="50">
        <v>5.5</v>
      </c>
      <c r="H645" s="50">
        <v>43</v>
      </c>
      <c r="I645" s="50">
        <v>3.56</v>
      </c>
      <c r="J645" s="50">
        <v>96</v>
      </c>
      <c r="K645" s="50">
        <v>91</v>
      </c>
      <c r="L645" s="50">
        <v>5.7</v>
      </c>
      <c r="M645" s="50">
        <v>5.44</v>
      </c>
      <c r="N645" s="50">
        <v>50</v>
      </c>
      <c r="O645" s="50">
        <v>12.9</v>
      </c>
      <c r="P645" s="50">
        <v>8.6</v>
      </c>
      <c r="Q645" s="50">
        <v>35.5</v>
      </c>
      <c r="R645" s="50">
        <v>42.5</v>
      </c>
      <c r="S645" s="50">
        <v>15.5</v>
      </c>
      <c r="T645" s="50">
        <v>34</v>
      </c>
      <c r="U645" s="50">
        <v>4.72</v>
      </c>
      <c r="V645" s="50">
        <v>53.6</v>
      </c>
      <c r="W645" s="50">
        <v>31</v>
      </c>
      <c r="X645" s="50">
        <v>387</v>
      </c>
      <c r="Y645" s="50">
        <v>11.25</v>
      </c>
      <c r="Z645" s="50">
        <v>21.5</v>
      </c>
      <c r="AA645" s="50">
        <v>6.49</v>
      </c>
      <c r="AB645" s="50"/>
      <c r="AC645" s="50"/>
      <c r="AD645" s="50"/>
      <c r="AE645" s="50"/>
      <c r="AF645" s="50"/>
      <c r="AG645" s="50"/>
      <c r="AH645" s="50"/>
      <c r="AI645" s="50"/>
      <c r="AJ645" s="50"/>
    </row>
    <row r="646" spans="1:36" ht="15" customHeight="1" x14ac:dyDescent="0.25">
      <c r="A646" s="50">
        <v>129</v>
      </c>
      <c r="B646" s="50" t="s">
        <v>926</v>
      </c>
      <c r="C646" s="50" t="s">
        <v>1352</v>
      </c>
      <c r="D646" s="50">
        <v>44</v>
      </c>
      <c r="E646" s="50" t="s">
        <v>1353</v>
      </c>
      <c r="F646" s="50">
        <v>21</v>
      </c>
      <c r="G646" s="50">
        <v>4.7</v>
      </c>
      <c r="H646" s="50">
        <v>40</v>
      </c>
      <c r="I646" s="50">
        <v>3.23</v>
      </c>
      <c r="J646" s="50">
        <v>103</v>
      </c>
      <c r="K646" s="50">
        <v>85</v>
      </c>
      <c r="L646" s="50">
        <v>4.99</v>
      </c>
      <c r="M646" s="50">
        <v>4.2699999999999996</v>
      </c>
      <c r="N646" s="50">
        <v>45</v>
      </c>
      <c r="O646" s="50">
        <v>11.4</v>
      </c>
      <c r="P646" s="50">
        <v>8.9</v>
      </c>
      <c r="Q646" s="50">
        <v>34.700000000000003</v>
      </c>
      <c r="R646" s="50">
        <v>48.5</v>
      </c>
      <c r="S646" s="50">
        <v>18.7</v>
      </c>
      <c r="T646" s="50">
        <v>46</v>
      </c>
      <c r="U646" s="50">
        <v>4.2</v>
      </c>
      <c r="V646" s="50">
        <v>54.5</v>
      </c>
      <c r="W646" s="50">
        <v>42</v>
      </c>
      <c r="X646" s="50">
        <v>406</v>
      </c>
      <c r="Y646" s="50">
        <v>10.88</v>
      </c>
      <c r="Z646" s="50">
        <v>25.1</v>
      </c>
      <c r="AA646" s="50">
        <v>6.74</v>
      </c>
      <c r="AB646" s="50"/>
      <c r="AC646" s="50"/>
      <c r="AD646" s="50"/>
      <c r="AE646" s="50"/>
      <c r="AF646" s="50"/>
      <c r="AG646" s="50"/>
      <c r="AH646" s="50"/>
      <c r="AI646" s="50"/>
      <c r="AJ646" s="50"/>
    </row>
    <row r="647" spans="1:36" ht="15" customHeight="1" x14ac:dyDescent="0.25">
      <c r="A647" s="50">
        <v>130</v>
      </c>
      <c r="B647" s="50" t="s">
        <v>926</v>
      </c>
      <c r="C647" s="50" t="s">
        <v>1352</v>
      </c>
      <c r="D647" s="50">
        <v>41</v>
      </c>
      <c r="E647" s="50" t="s">
        <v>1353</v>
      </c>
      <c r="F647" s="50">
        <v>0</v>
      </c>
      <c r="G647" s="50">
        <v>6.7</v>
      </c>
      <c r="H647" s="50">
        <v>49</v>
      </c>
      <c r="I647" s="50">
        <v>3.31</v>
      </c>
      <c r="J647" s="50">
        <v>91</v>
      </c>
      <c r="K647" s="50">
        <v>100</v>
      </c>
      <c r="L647" s="50">
        <v>6.56</v>
      </c>
      <c r="M647" s="50">
        <v>7.14</v>
      </c>
      <c r="N647" s="50">
        <v>36</v>
      </c>
      <c r="O647" s="50">
        <v>13.4</v>
      </c>
      <c r="P647" s="50">
        <v>11.6</v>
      </c>
      <c r="Q647" s="50">
        <v>45.6</v>
      </c>
      <c r="R647" s="50">
        <v>36.4</v>
      </c>
      <c r="S647" s="50">
        <v>21</v>
      </c>
      <c r="T647" s="50">
        <v>47</v>
      </c>
      <c r="U647" s="50">
        <v>12</v>
      </c>
      <c r="V647" s="50">
        <v>57.9</v>
      </c>
      <c r="W647" s="50">
        <v>47</v>
      </c>
      <c r="X647" s="50">
        <v>390</v>
      </c>
      <c r="Y647" s="50">
        <v>14.63</v>
      </c>
      <c r="Z647" s="50">
        <v>27.2</v>
      </c>
      <c r="AA647" s="50">
        <v>6.61</v>
      </c>
      <c r="AB647" s="50"/>
      <c r="AC647" s="50"/>
      <c r="AD647" s="50"/>
      <c r="AE647" s="50"/>
      <c r="AF647" s="50"/>
      <c r="AG647" s="50"/>
      <c r="AH647" s="50"/>
      <c r="AI647" s="50"/>
      <c r="AJ647" s="50"/>
    </row>
    <row r="648" spans="1:36" ht="15" customHeight="1" x14ac:dyDescent="0.25">
      <c r="A648" s="50">
        <v>130</v>
      </c>
      <c r="B648" s="50" t="s">
        <v>926</v>
      </c>
      <c r="C648" s="50" t="s">
        <v>1352</v>
      </c>
      <c r="D648" s="50">
        <v>41</v>
      </c>
      <c r="E648" s="50" t="s">
        <v>1353</v>
      </c>
      <c r="F648" s="50">
        <v>4</v>
      </c>
      <c r="G648" s="50">
        <v>6.4</v>
      </c>
      <c r="H648" s="50">
        <v>48</v>
      </c>
      <c r="I648" s="50">
        <v>3.3</v>
      </c>
      <c r="J648" s="50">
        <v>96</v>
      </c>
      <c r="K648" s="50">
        <v>97</v>
      </c>
      <c r="L648" s="50">
        <v>6.05</v>
      </c>
      <c r="M648" s="50">
        <v>6.78</v>
      </c>
      <c r="N648" s="50">
        <v>36</v>
      </c>
      <c r="O648" s="50">
        <v>13.1</v>
      </c>
      <c r="P648" s="50">
        <v>12.1</v>
      </c>
      <c r="Q648" s="50">
        <v>41.9</v>
      </c>
      <c r="R648" s="50">
        <v>39.6</v>
      </c>
      <c r="S648" s="50">
        <v>22.9</v>
      </c>
      <c r="T648" s="50">
        <v>50</v>
      </c>
      <c r="U648" s="50">
        <v>13.16</v>
      </c>
      <c r="V648" s="50">
        <v>59.3</v>
      </c>
      <c r="W648" s="50">
        <v>49</v>
      </c>
      <c r="X648" s="50">
        <v>391</v>
      </c>
      <c r="Y648" s="50">
        <v>14.35</v>
      </c>
      <c r="Z648" s="50">
        <v>28.2</v>
      </c>
      <c r="AA648" s="50">
        <v>6.77</v>
      </c>
      <c r="AB648" s="50"/>
      <c r="AC648" s="50"/>
      <c r="AD648" s="50"/>
      <c r="AE648" s="50"/>
      <c r="AF648" s="50"/>
      <c r="AG648" s="50"/>
      <c r="AH648" s="50"/>
      <c r="AI648" s="50"/>
      <c r="AJ648" s="50"/>
    </row>
    <row r="649" spans="1:36" ht="15" customHeight="1" x14ac:dyDescent="0.25">
      <c r="A649" s="50">
        <v>130</v>
      </c>
      <c r="B649" s="50" t="s">
        <v>926</v>
      </c>
      <c r="C649" s="50" t="s">
        <v>1352</v>
      </c>
      <c r="D649" s="50">
        <v>41</v>
      </c>
      <c r="E649" s="50" t="s">
        <v>1353</v>
      </c>
      <c r="F649" s="50">
        <v>8</v>
      </c>
      <c r="G649" s="50">
        <v>6.5</v>
      </c>
      <c r="H649" s="50">
        <v>46</v>
      </c>
      <c r="I649" s="50">
        <v>3.31</v>
      </c>
      <c r="J649" s="50">
        <v>94</v>
      </c>
      <c r="K649" s="50">
        <v>94</v>
      </c>
      <c r="L649" s="50">
        <v>6.21</v>
      </c>
      <c r="M649" s="50">
        <v>6.97</v>
      </c>
      <c r="N649" s="50">
        <v>36</v>
      </c>
      <c r="O649" s="50">
        <v>12</v>
      </c>
      <c r="P649" s="50">
        <v>10.8</v>
      </c>
      <c r="Q649" s="50">
        <v>41.4</v>
      </c>
      <c r="R649" s="50">
        <v>39.6</v>
      </c>
      <c r="S649" s="50">
        <v>23.8</v>
      </c>
      <c r="T649" s="50">
        <v>49</v>
      </c>
      <c r="U649" s="50">
        <v>13.01</v>
      </c>
      <c r="V649" s="50">
        <v>59.3</v>
      </c>
      <c r="W649" s="50">
        <v>46</v>
      </c>
      <c r="X649" s="50">
        <v>389</v>
      </c>
      <c r="Y649" s="50">
        <v>14.86</v>
      </c>
      <c r="Z649" s="50">
        <v>29.1</v>
      </c>
      <c r="AA649" s="50">
        <v>6.56</v>
      </c>
      <c r="AB649" s="50"/>
      <c r="AC649" s="50"/>
      <c r="AD649" s="50"/>
      <c r="AE649" s="50"/>
      <c r="AF649" s="50"/>
      <c r="AG649" s="50"/>
      <c r="AH649" s="50"/>
      <c r="AI649" s="50"/>
      <c r="AJ649" s="50"/>
    </row>
    <row r="650" spans="1:36" ht="15" customHeight="1" x14ac:dyDescent="0.25">
      <c r="A650" s="50">
        <v>130</v>
      </c>
      <c r="B650" s="50" t="s">
        <v>926</v>
      </c>
      <c r="C650" s="50" t="s">
        <v>1352</v>
      </c>
      <c r="D650" s="50">
        <v>41</v>
      </c>
      <c r="E650" s="50" t="s">
        <v>1353</v>
      </c>
      <c r="F650" s="50">
        <v>12</v>
      </c>
      <c r="G650" s="50">
        <v>5.9</v>
      </c>
      <c r="H650" s="50">
        <v>47</v>
      </c>
      <c r="I650" s="50">
        <v>3.24</v>
      </c>
      <c r="J650" s="50">
        <v>97</v>
      </c>
      <c r="K650" s="50">
        <v>91</v>
      </c>
      <c r="L650" s="50">
        <v>5.78</v>
      </c>
      <c r="M650" s="50">
        <v>6.49</v>
      </c>
      <c r="N650" s="50">
        <v>36</v>
      </c>
      <c r="O650" s="50">
        <v>12.9</v>
      </c>
      <c r="P650" s="50">
        <v>10.6</v>
      </c>
      <c r="Q650" s="50">
        <v>39.4</v>
      </c>
      <c r="R650" s="50">
        <v>44</v>
      </c>
      <c r="S650" s="50">
        <v>25.4</v>
      </c>
      <c r="T650" s="50">
        <v>54</v>
      </c>
      <c r="U650" s="50">
        <v>11.2</v>
      </c>
      <c r="V650" s="50">
        <v>60.2</v>
      </c>
      <c r="W650" s="50">
        <v>51</v>
      </c>
      <c r="X650" s="50">
        <v>402</v>
      </c>
      <c r="Y650" s="50">
        <v>14.37</v>
      </c>
      <c r="Z650" s="50">
        <v>29.9</v>
      </c>
      <c r="AA650" s="50">
        <v>6.42</v>
      </c>
      <c r="AB650" s="50"/>
      <c r="AC650" s="50"/>
      <c r="AD650" s="50"/>
      <c r="AE650" s="50"/>
      <c r="AF650" s="50"/>
      <c r="AG650" s="50"/>
      <c r="AH650" s="50"/>
      <c r="AI650" s="50"/>
      <c r="AJ650" s="50"/>
    </row>
    <row r="651" spans="1:36" ht="15" customHeight="1" x14ac:dyDescent="0.25">
      <c r="A651" s="50">
        <v>130</v>
      </c>
      <c r="B651" s="50" t="s">
        <v>926</v>
      </c>
      <c r="C651" s="50" t="s">
        <v>1352</v>
      </c>
      <c r="D651" s="50">
        <v>41</v>
      </c>
      <c r="E651" s="50" t="s">
        <v>1353</v>
      </c>
      <c r="F651" s="50">
        <v>21</v>
      </c>
      <c r="G651" s="50">
        <v>4.8</v>
      </c>
      <c r="H651" s="50">
        <v>45</v>
      </c>
      <c r="I651" s="50">
        <v>2.86</v>
      </c>
      <c r="J651" s="50">
        <v>101</v>
      </c>
      <c r="K651" s="50">
        <v>85</v>
      </c>
      <c r="L651" s="50">
        <v>4.62</v>
      </c>
      <c r="M651" s="50">
        <v>5.14</v>
      </c>
      <c r="N651" s="50">
        <v>33</v>
      </c>
      <c r="O651" s="50">
        <v>10.5</v>
      </c>
      <c r="P651" s="50">
        <v>10.8</v>
      </c>
      <c r="Q651" s="50">
        <v>33.1</v>
      </c>
      <c r="R651" s="50">
        <v>48.5</v>
      </c>
      <c r="S651" s="50">
        <v>31</v>
      </c>
      <c r="T651" s="50">
        <v>58</v>
      </c>
      <c r="U651" s="50">
        <v>10</v>
      </c>
      <c r="V651" s="50">
        <v>63.7</v>
      </c>
      <c r="W651" s="50">
        <v>55</v>
      </c>
      <c r="X651" s="50">
        <v>433</v>
      </c>
      <c r="Y651" s="50">
        <v>13.4</v>
      </c>
      <c r="Z651" s="50">
        <v>32.799999999999997</v>
      </c>
      <c r="AA651" s="50">
        <v>6.65</v>
      </c>
      <c r="AB651" s="50"/>
      <c r="AC651" s="50"/>
      <c r="AD651" s="50"/>
      <c r="AE651" s="50"/>
      <c r="AF651" s="50"/>
      <c r="AG651" s="50"/>
      <c r="AH651" s="50"/>
      <c r="AI651" s="50"/>
      <c r="AJ651" s="50"/>
    </row>
    <row r="652" spans="1:36" ht="15" customHeight="1" x14ac:dyDescent="0.25">
      <c r="A652" s="50">
        <v>131</v>
      </c>
      <c r="B652" s="50" t="s">
        <v>926</v>
      </c>
      <c r="C652" s="50" t="s">
        <v>1352</v>
      </c>
      <c r="D652" s="50">
        <v>43</v>
      </c>
      <c r="E652" s="50" t="s">
        <v>1353</v>
      </c>
      <c r="F652" s="50">
        <v>0</v>
      </c>
      <c r="G652" s="50">
        <v>6.4</v>
      </c>
      <c r="H652" s="50">
        <v>37</v>
      </c>
      <c r="I652" s="50">
        <v>3.79</v>
      </c>
      <c r="J652" s="50">
        <v>101</v>
      </c>
      <c r="K652" s="50">
        <v>100</v>
      </c>
      <c r="L652" s="50">
        <v>6.46</v>
      </c>
      <c r="M652" s="50">
        <v>6.86</v>
      </c>
      <c r="N652" s="50">
        <v>45</v>
      </c>
      <c r="O652" s="50">
        <v>14.6</v>
      </c>
      <c r="P652" s="50">
        <v>9.8000000000000007</v>
      </c>
      <c r="Q652" s="50">
        <v>30.7</v>
      </c>
      <c r="R652" s="50">
        <v>35.200000000000003</v>
      </c>
      <c r="S652" s="50">
        <v>16.2</v>
      </c>
      <c r="T652" s="50">
        <v>59</v>
      </c>
      <c r="U652" s="50">
        <v>12.89</v>
      </c>
      <c r="V652" s="50">
        <v>54.4</v>
      </c>
      <c r="W652" s="50">
        <v>37</v>
      </c>
      <c r="X652" s="50">
        <v>300</v>
      </c>
      <c r="Y652" s="50">
        <v>13.49</v>
      </c>
      <c r="Z652" s="50">
        <v>25.8</v>
      </c>
      <c r="AA652" s="50">
        <v>5.68</v>
      </c>
      <c r="AB652" s="50"/>
      <c r="AC652" s="50"/>
      <c r="AD652" s="50"/>
      <c r="AE652" s="50"/>
      <c r="AF652" s="50"/>
      <c r="AG652" s="50"/>
      <c r="AH652" s="50"/>
      <c r="AI652" s="50"/>
      <c r="AJ652" s="50"/>
    </row>
    <row r="653" spans="1:36" ht="15" customHeight="1" x14ac:dyDescent="0.25">
      <c r="A653" s="50">
        <v>131</v>
      </c>
      <c r="B653" s="50" t="s">
        <v>926</v>
      </c>
      <c r="C653" s="50" t="s">
        <v>1352</v>
      </c>
      <c r="D653" s="50">
        <v>43</v>
      </c>
      <c r="E653" s="50" t="s">
        <v>1353</v>
      </c>
      <c r="F653" s="50">
        <v>4</v>
      </c>
      <c r="G653" s="50">
        <v>6.2</v>
      </c>
      <c r="H653" s="50">
        <v>36</v>
      </c>
      <c r="I653" s="50">
        <v>3.74</v>
      </c>
      <c r="J653" s="50">
        <v>101</v>
      </c>
      <c r="K653" s="50">
        <v>97</v>
      </c>
      <c r="L653" s="50">
        <v>6.46</v>
      </c>
      <c r="M653" s="50">
        <v>6.54</v>
      </c>
      <c r="N653" s="50">
        <v>45</v>
      </c>
      <c r="O653" s="50">
        <v>13.2</v>
      </c>
      <c r="P653" s="50">
        <v>10.3</v>
      </c>
      <c r="Q653" s="50">
        <v>31.2</v>
      </c>
      <c r="R653" s="50">
        <v>38.200000000000003</v>
      </c>
      <c r="S653" s="50">
        <v>17.5</v>
      </c>
      <c r="T653" s="50">
        <v>58</v>
      </c>
      <c r="U653" s="50">
        <v>12.27</v>
      </c>
      <c r="V653" s="50">
        <v>54.8</v>
      </c>
      <c r="W653" s="50">
        <v>41</v>
      </c>
      <c r="X653" s="50">
        <v>308</v>
      </c>
      <c r="Y653" s="50">
        <v>13.3</v>
      </c>
      <c r="Z653" s="50">
        <v>25.6</v>
      </c>
      <c r="AA653" s="50">
        <v>5.72</v>
      </c>
      <c r="AB653" s="50"/>
      <c r="AC653" s="50"/>
      <c r="AD653" s="50"/>
      <c r="AE653" s="50"/>
      <c r="AF653" s="50"/>
      <c r="AG653" s="50"/>
      <c r="AH653" s="50"/>
      <c r="AI653" s="50"/>
      <c r="AJ653" s="50"/>
    </row>
    <row r="654" spans="1:36" ht="15" customHeight="1" x14ac:dyDescent="0.25">
      <c r="A654" s="50">
        <v>131</v>
      </c>
      <c r="B654" s="50" t="s">
        <v>926</v>
      </c>
      <c r="C654" s="50" t="s">
        <v>1352</v>
      </c>
      <c r="D654" s="50">
        <v>43</v>
      </c>
      <c r="E654" s="50" t="s">
        <v>1353</v>
      </c>
      <c r="F654" s="50">
        <v>8</v>
      </c>
      <c r="G654" s="50">
        <v>5.9</v>
      </c>
      <c r="H654" s="50">
        <v>37</v>
      </c>
      <c r="I654" s="50">
        <v>3.54</v>
      </c>
      <c r="J654" s="50">
        <v>97</v>
      </c>
      <c r="K654" s="50">
        <v>94</v>
      </c>
      <c r="L654" s="50">
        <v>6.24</v>
      </c>
      <c r="M654" s="50">
        <v>6.3</v>
      </c>
      <c r="N654" s="50">
        <v>43</v>
      </c>
      <c r="O654" s="50">
        <v>13.8</v>
      </c>
      <c r="P654" s="50">
        <v>8.8000000000000007</v>
      </c>
      <c r="Q654" s="50">
        <v>32.1</v>
      </c>
      <c r="R654" s="50">
        <v>39.700000000000003</v>
      </c>
      <c r="S654" s="50">
        <v>17.8</v>
      </c>
      <c r="T654" s="50">
        <v>59</v>
      </c>
      <c r="U654" s="50">
        <v>11.24</v>
      </c>
      <c r="V654" s="50">
        <v>58.3</v>
      </c>
      <c r="W654" s="50">
        <v>41</v>
      </c>
      <c r="X654" s="50">
        <v>316</v>
      </c>
      <c r="Y654" s="50">
        <v>13.32</v>
      </c>
      <c r="Z654" s="50">
        <v>27.9</v>
      </c>
      <c r="AA654" s="50">
        <v>5.86</v>
      </c>
      <c r="AB654" s="50"/>
      <c r="AC654" s="50"/>
      <c r="AD654" s="50"/>
      <c r="AE654" s="50"/>
      <c r="AF654" s="50"/>
      <c r="AG654" s="50"/>
      <c r="AH654" s="50"/>
      <c r="AI654" s="50"/>
      <c r="AJ654" s="50"/>
    </row>
    <row r="655" spans="1:36" ht="15" customHeight="1" x14ac:dyDescent="0.25">
      <c r="A655" s="50">
        <v>131</v>
      </c>
      <c r="B655" s="50" t="s">
        <v>926</v>
      </c>
      <c r="C655" s="50" t="s">
        <v>1352</v>
      </c>
      <c r="D655" s="50">
        <v>43</v>
      </c>
      <c r="E655" s="50" t="s">
        <v>1353</v>
      </c>
      <c r="F655" s="50">
        <v>12</v>
      </c>
      <c r="G655" s="50">
        <v>5.6</v>
      </c>
      <c r="H655" s="50">
        <v>35</v>
      </c>
      <c r="I655" s="50">
        <v>3.34</v>
      </c>
      <c r="J655" s="50">
        <v>101</v>
      </c>
      <c r="K655" s="50">
        <v>91</v>
      </c>
      <c r="L655" s="50">
        <v>5.93</v>
      </c>
      <c r="M655" s="50">
        <v>5.71</v>
      </c>
      <c r="N655" s="50">
        <v>43</v>
      </c>
      <c r="O655" s="50">
        <v>12.6</v>
      </c>
      <c r="P655" s="50">
        <v>9.1</v>
      </c>
      <c r="Q655" s="50">
        <v>30.5</v>
      </c>
      <c r="R655" s="50">
        <v>39.799999999999997</v>
      </c>
      <c r="S655" s="50">
        <v>21.4</v>
      </c>
      <c r="T655" s="50">
        <v>56</v>
      </c>
      <c r="U655" s="50">
        <v>11.62</v>
      </c>
      <c r="V655" s="50">
        <v>58.7</v>
      </c>
      <c r="W655" s="50">
        <v>42</v>
      </c>
      <c r="X655" s="50">
        <v>328</v>
      </c>
      <c r="Y655" s="50">
        <v>12.56</v>
      </c>
      <c r="Z655" s="50">
        <v>28.2</v>
      </c>
      <c r="AA655" s="50">
        <v>5.69</v>
      </c>
      <c r="AB655" s="50"/>
      <c r="AC655" s="50"/>
      <c r="AD655" s="50"/>
      <c r="AE655" s="50"/>
      <c r="AF655" s="50"/>
      <c r="AG655" s="50"/>
      <c r="AH655" s="50"/>
      <c r="AI655" s="50"/>
      <c r="AJ655" s="50"/>
    </row>
    <row r="656" spans="1:36" ht="15" customHeight="1" x14ac:dyDescent="0.25">
      <c r="A656" s="50">
        <v>131</v>
      </c>
      <c r="B656" s="50" t="s">
        <v>926</v>
      </c>
      <c r="C656" s="50" t="s">
        <v>1352</v>
      </c>
      <c r="D656" s="50">
        <v>43</v>
      </c>
      <c r="E656" s="50" t="s">
        <v>1353</v>
      </c>
      <c r="F656" s="50">
        <v>21</v>
      </c>
      <c r="G656" s="50">
        <v>4.7</v>
      </c>
      <c r="H656" s="50">
        <v>32</v>
      </c>
      <c r="I656" s="50">
        <v>3.21</v>
      </c>
      <c r="J656" s="50">
        <v>108</v>
      </c>
      <c r="K656" s="50">
        <v>85</v>
      </c>
      <c r="L656" s="50">
        <v>5.39</v>
      </c>
      <c r="M656" s="50">
        <v>5.24</v>
      </c>
      <c r="N656" s="50">
        <v>38</v>
      </c>
      <c r="O656" s="50">
        <v>11.6</v>
      </c>
      <c r="P656" s="50">
        <v>7.6</v>
      </c>
      <c r="Q656" s="50">
        <v>32.4</v>
      </c>
      <c r="R656" s="50">
        <v>46.9</v>
      </c>
      <c r="S656" s="50">
        <v>24.3</v>
      </c>
      <c r="T656" s="50">
        <v>62</v>
      </c>
      <c r="U656" s="50">
        <v>9.75</v>
      </c>
      <c r="V656" s="50">
        <v>62.3</v>
      </c>
      <c r="W656" s="50">
        <v>47</v>
      </c>
      <c r="X656" s="50">
        <v>368</v>
      </c>
      <c r="Y656" s="50">
        <v>11.79</v>
      </c>
      <c r="Z656" s="50">
        <v>32</v>
      </c>
      <c r="AA656" s="50">
        <v>6.26</v>
      </c>
      <c r="AB656" s="50"/>
      <c r="AC656" s="50"/>
      <c r="AD656" s="50"/>
      <c r="AE656" s="50"/>
      <c r="AF656" s="50"/>
      <c r="AG656" s="50"/>
      <c r="AH656" s="50"/>
      <c r="AI656" s="50"/>
      <c r="AJ656" s="50"/>
    </row>
    <row r="657" spans="1:36" ht="15" customHeight="1" x14ac:dyDescent="0.25">
      <c r="A657" s="50">
        <v>132</v>
      </c>
      <c r="B657" s="50" t="s">
        <v>926</v>
      </c>
      <c r="C657" s="50" t="s">
        <v>1352</v>
      </c>
      <c r="D657" s="50">
        <v>29</v>
      </c>
      <c r="E657" s="50" t="s">
        <v>1355</v>
      </c>
      <c r="F657" s="50">
        <v>0</v>
      </c>
      <c r="G657" s="50">
        <v>7.1</v>
      </c>
      <c r="H657" s="50">
        <v>28</v>
      </c>
      <c r="I657" s="50">
        <v>3.81</v>
      </c>
      <c r="J657" s="50">
        <v>99</v>
      </c>
      <c r="K657" s="50">
        <v>100</v>
      </c>
      <c r="L657" s="50">
        <v>7.56</v>
      </c>
      <c r="M657" s="50">
        <v>6.36</v>
      </c>
      <c r="N657" s="50">
        <v>42</v>
      </c>
      <c r="O657" s="50">
        <v>17.3</v>
      </c>
      <c r="P657" s="50">
        <v>11.6</v>
      </c>
      <c r="Q657" s="50">
        <v>45.6</v>
      </c>
      <c r="R657" s="50">
        <v>37</v>
      </c>
      <c r="S657" s="50">
        <v>27.2</v>
      </c>
      <c r="T657" s="50">
        <v>38</v>
      </c>
      <c r="U657" s="50">
        <v>7.46</v>
      </c>
      <c r="V657" s="50">
        <v>64.5</v>
      </c>
      <c r="W657" s="50">
        <v>52</v>
      </c>
      <c r="X657" s="50">
        <v>496</v>
      </c>
      <c r="Y657" s="50">
        <v>13.69</v>
      </c>
      <c r="Z657" s="50">
        <v>25.2</v>
      </c>
      <c r="AA657" s="50">
        <v>6.04</v>
      </c>
      <c r="AB657" s="50"/>
      <c r="AC657" s="50"/>
      <c r="AD657" s="50"/>
      <c r="AE657" s="50"/>
      <c r="AF657" s="50"/>
      <c r="AG657" s="50"/>
      <c r="AH657" s="50"/>
      <c r="AI657" s="50"/>
      <c r="AJ657" s="50"/>
    </row>
    <row r="658" spans="1:36" ht="15" customHeight="1" x14ac:dyDescent="0.25">
      <c r="A658" s="50">
        <v>132</v>
      </c>
      <c r="B658" s="50" t="s">
        <v>926</v>
      </c>
      <c r="C658" s="50" t="s">
        <v>1352</v>
      </c>
      <c r="D658" s="50">
        <v>29</v>
      </c>
      <c r="E658" s="50" t="s">
        <v>1355</v>
      </c>
      <c r="F658" s="50">
        <v>4</v>
      </c>
      <c r="G658" s="50">
        <v>7</v>
      </c>
      <c r="H658" s="50">
        <v>24</v>
      </c>
      <c r="I658" s="50">
        <v>3.7</v>
      </c>
      <c r="J658" s="50">
        <v>102</v>
      </c>
      <c r="K658" s="50">
        <v>97</v>
      </c>
      <c r="L658" s="50">
        <v>7.5</v>
      </c>
      <c r="M658" s="50">
        <v>6.24</v>
      </c>
      <c r="N658" s="50">
        <v>42</v>
      </c>
      <c r="O658" s="50">
        <v>17.8</v>
      </c>
      <c r="P658" s="50">
        <v>12.1</v>
      </c>
      <c r="Q658" s="50">
        <v>48.9</v>
      </c>
      <c r="R658" s="50">
        <v>36.6</v>
      </c>
      <c r="S658" s="50">
        <v>27.7</v>
      </c>
      <c r="T658" s="50">
        <v>41</v>
      </c>
      <c r="U658" s="50">
        <v>7.05</v>
      </c>
      <c r="V658" s="50">
        <v>65.7</v>
      </c>
      <c r="W658" s="50">
        <v>50</v>
      </c>
      <c r="X658" s="50">
        <v>490</v>
      </c>
      <c r="Y658" s="50">
        <v>13.68</v>
      </c>
      <c r="Z658" s="50">
        <v>27.3</v>
      </c>
      <c r="AA658" s="50">
        <v>6.27</v>
      </c>
      <c r="AB658" s="50"/>
      <c r="AC658" s="50"/>
      <c r="AD658" s="50"/>
      <c r="AE658" s="50"/>
      <c r="AF658" s="50"/>
      <c r="AG658" s="50"/>
      <c r="AH658" s="50"/>
      <c r="AI658" s="50"/>
      <c r="AJ658" s="50"/>
    </row>
    <row r="659" spans="1:36" ht="15" customHeight="1" x14ac:dyDescent="0.25">
      <c r="A659" s="50">
        <v>132</v>
      </c>
      <c r="B659" s="50" t="s">
        <v>926</v>
      </c>
      <c r="C659" s="50" t="s">
        <v>1352</v>
      </c>
      <c r="D659" s="50">
        <v>29</v>
      </c>
      <c r="E659" s="50" t="s">
        <v>1355</v>
      </c>
      <c r="F659" s="50">
        <v>8</v>
      </c>
      <c r="G659" s="50">
        <v>6.5</v>
      </c>
      <c r="H659" s="50">
        <v>24</v>
      </c>
      <c r="I659" s="50">
        <v>3.56</v>
      </c>
      <c r="J659" s="50">
        <v>103</v>
      </c>
      <c r="K659" s="50">
        <v>94</v>
      </c>
      <c r="L659" s="50">
        <v>7.24</v>
      </c>
      <c r="M659" s="50">
        <v>5.97</v>
      </c>
      <c r="N659" s="50">
        <v>42</v>
      </c>
      <c r="O659" s="50">
        <v>16.8</v>
      </c>
      <c r="P659" s="50">
        <v>10.1</v>
      </c>
      <c r="Q659" s="50">
        <v>47.6</v>
      </c>
      <c r="R659" s="50">
        <v>40.4</v>
      </c>
      <c r="S659" s="50">
        <v>28.1</v>
      </c>
      <c r="T659" s="50">
        <v>44</v>
      </c>
      <c r="U659" s="50">
        <v>7.36</v>
      </c>
      <c r="V659" s="50">
        <v>65.8</v>
      </c>
      <c r="W659" s="50">
        <v>55</v>
      </c>
      <c r="X659" s="50">
        <v>500</v>
      </c>
      <c r="Y659" s="50">
        <v>12.69</v>
      </c>
      <c r="Z659" s="50">
        <v>27.9</v>
      </c>
      <c r="AA659" s="50">
        <v>6.26</v>
      </c>
      <c r="AB659" s="50"/>
      <c r="AC659" s="50"/>
      <c r="AD659" s="50"/>
      <c r="AE659" s="50"/>
      <c r="AF659" s="50"/>
      <c r="AG659" s="50"/>
      <c r="AH659" s="50"/>
      <c r="AI659" s="50"/>
      <c r="AJ659" s="50"/>
    </row>
    <row r="660" spans="1:36" ht="15" customHeight="1" x14ac:dyDescent="0.25">
      <c r="A660" s="50">
        <v>132</v>
      </c>
      <c r="B660" s="50" t="s">
        <v>926</v>
      </c>
      <c r="C660" s="50" t="s">
        <v>1352</v>
      </c>
      <c r="D660" s="50">
        <v>29</v>
      </c>
      <c r="E660" s="50" t="s">
        <v>1355</v>
      </c>
      <c r="F660" s="50">
        <v>12</v>
      </c>
      <c r="G660" s="50">
        <v>6</v>
      </c>
      <c r="H660" s="50">
        <v>23</v>
      </c>
      <c r="I660" s="50">
        <v>3.53</v>
      </c>
      <c r="J660" s="50">
        <v>107</v>
      </c>
      <c r="K660" s="50">
        <v>91</v>
      </c>
      <c r="L660" s="50">
        <v>6.79</v>
      </c>
      <c r="M660" s="50">
        <v>5.59</v>
      </c>
      <c r="N660" s="50">
        <v>38</v>
      </c>
      <c r="O660" s="50">
        <v>16.399999999999999</v>
      </c>
      <c r="P660" s="50">
        <v>10.7</v>
      </c>
      <c r="Q660" s="50">
        <v>43.7</v>
      </c>
      <c r="R660" s="50">
        <v>44.3</v>
      </c>
      <c r="S660" s="50">
        <v>30.6</v>
      </c>
      <c r="T660" s="50">
        <v>47</v>
      </c>
      <c r="U660" s="50">
        <v>5.96</v>
      </c>
      <c r="V660" s="50">
        <v>66.099999999999994</v>
      </c>
      <c r="W660" s="50">
        <v>58</v>
      </c>
      <c r="X660" s="50">
        <v>500</v>
      </c>
      <c r="Y660" s="50">
        <v>12.19</v>
      </c>
      <c r="Z660" s="50">
        <v>28.3</v>
      </c>
      <c r="AA660" s="50">
        <v>6.63</v>
      </c>
      <c r="AB660" s="50"/>
      <c r="AC660" s="50"/>
      <c r="AD660" s="50"/>
      <c r="AE660" s="50"/>
      <c r="AF660" s="50"/>
      <c r="AG660" s="50"/>
      <c r="AH660" s="50"/>
      <c r="AI660" s="50"/>
      <c r="AJ660" s="50"/>
    </row>
    <row r="661" spans="1:36" ht="15" customHeight="1" x14ac:dyDescent="0.25">
      <c r="A661" s="50">
        <v>132</v>
      </c>
      <c r="B661" s="50" t="s">
        <v>926</v>
      </c>
      <c r="C661" s="50" t="s">
        <v>1352</v>
      </c>
      <c r="D661" s="50">
        <v>29</v>
      </c>
      <c r="E661" s="50" t="s">
        <v>1355</v>
      </c>
      <c r="F661" s="50">
        <v>21</v>
      </c>
      <c r="G661" s="50">
        <v>5</v>
      </c>
      <c r="H661" s="50">
        <v>22</v>
      </c>
      <c r="I661" s="50">
        <v>3.28</v>
      </c>
      <c r="J661" s="50">
        <v>113</v>
      </c>
      <c r="K661" s="50">
        <v>85</v>
      </c>
      <c r="L661" s="50">
        <v>5.34</v>
      </c>
      <c r="M661" s="50">
        <v>4.6100000000000003</v>
      </c>
      <c r="N661" s="50">
        <v>40</v>
      </c>
      <c r="O661" s="50">
        <v>13.9</v>
      </c>
      <c r="P661" s="50">
        <v>9.3000000000000007</v>
      </c>
      <c r="Q661" s="50">
        <v>39</v>
      </c>
      <c r="R661" s="50">
        <v>47.6</v>
      </c>
      <c r="S661" s="50">
        <v>34.6</v>
      </c>
      <c r="T661" s="50">
        <v>58</v>
      </c>
      <c r="U661" s="50">
        <v>7.99</v>
      </c>
      <c r="V661" s="50">
        <v>66.599999999999994</v>
      </c>
      <c r="W661" s="50">
        <v>60</v>
      </c>
      <c r="X661" s="50">
        <v>525</v>
      </c>
      <c r="Y661" s="50">
        <v>11.74</v>
      </c>
      <c r="Z661" s="50">
        <v>29.1</v>
      </c>
      <c r="AA661" s="50">
        <v>6.75</v>
      </c>
      <c r="AB661" s="50"/>
      <c r="AC661" s="50"/>
      <c r="AD661" s="50"/>
      <c r="AE661" s="50"/>
      <c r="AF661" s="50"/>
      <c r="AG661" s="50"/>
      <c r="AH661" s="50"/>
      <c r="AI661" s="50"/>
      <c r="AJ661" s="50"/>
    </row>
    <row r="662" spans="1:36" ht="15" customHeight="1" x14ac:dyDescent="0.25">
      <c r="A662" s="50">
        <v>133</v>
      </c>
      <c r="B662" s="50" t="s">
        <v>926</v>
      </c>
      <c r="C662" s="50" t="s">
        <v>1357</v>
      </c>
      <c r="D662" s="50">
        <v>50</v>
      </c>
      <c r="E662" s="50" t="s">
        <v>1359</v>
      </c>
      <c r="F662" s="50">
        <v>0</v>
      </c>
      <c r="G662" s="50">
        <v>7.2</v>
      </c>
      <c r="H662" s="50">
        <v>45</v>
      </c>
      <c r="I662" s="50">
        <v>3.56</v>
      </c>
      <c r="J662" s="50">
        <v>96</v>
      </c>
      <c r="K662" s="50">
        <v>100</v>
      </c>
      <c r="L662" s="50">
        <v>6.85</v>
      </c>
      <c r="M662" s="50">
        <v>6.31</v>
      </c>
      <c r="N662" s="50">
        <v>51</v>
      </c>
      <c r="O662" s="50">
        <v>11.2</v>
      </c>
      <c r="P662" s="50">
        <v>12.7</v>
      </c>
      <c r="Q662" s="50">
        <v>46.8</v>
      </c>
      <c r="R662" s="50">
        <v>34.700000000000003</v>
      </c>
      <c r="S662" s="50">
        <v>20.100000000000001</v>
      </c>
      <c r="T662" s="50">
        <v>37</v>
      </c>
      <c r="U662" s="50">
        <v>14.07</v>
      </c>
      <c r="V662" s="50">
        <v>63.4</v>
      </c>
      <c r="W662" s="50">
        <v>56</v>
      </c>
      <c r="X662" s="50">
        <v>430</v>
      </c>
      <c r="Y662" s="50">
        <v>13</v>
      </c>
      <c r="Z662" s="50">
        <v>25</v>
      </c>
      <c r="AA662" s="50">
        <v>6.31</v>
      </c>
      <c r="AB662" s="50"/>
      <c r="AC662" s="50"/>
      <c r="AD662" s="50"/>
      <c r="AE662" s="50"/>
      <c r="AF662" s="50"/>
      <c r="AG662" s="50"/>
      <c r="AH662" s="50"/>
      <c r="AI662" s="50"/>
      <c r="AJ662" s="50"/>
    </row>
    <row r="663" spans="1:36" ht="15" customHeight="1" x14ac:dyDescent="0.25">
      <c r="A663" s="50">
        <v>133</v>
      </c>
      <c r="B663" s="50" t="s">
        <v>926</v>
      </c>
      <c r="C663" s="50" t="s">
        <v>1357</v>
      </c>
      <c r="D663" s="50">
        <v>50</v>
      </c>
      <c r="E663" s="50" t="s">
        <v>1359</v>
      </c>
      <c r="F663" s="50">
        <v>4</v>
      </c>
      <c r="G663" s="50">
        <v>6.9</v>
      </c>
      <c r="H663" s="50">
        <v>43</v>
      </c>
      <c r="I663" s="50">
        <v>3.5</v>
      </c>
      <c r="J663" s="50">
        <v>97</v>
      </c>
      <c r="K663" s="50">
        <v>97</v>
      </c>
      <c r="L663" s="50">
        <v>6.53</v>
      </c>
      <c r="M663" s="50">
        <v>6.14</v>
      </c>
      <c r="N663" s="50">
        <v>50</v>
      </c>
      <c r="O663" s="50">
        <v>12.3</v>
      </c>
      <c r="P663" s="50">
        <v>11.9</v>
      </c>
      <c r="Q663" s="50">
        <v>46.7</v>
      </c>
      <c r="R663" s="50">
        <v>37.1</v>
      </c>
      <c r="S663" s="50">
        <v>20.2</v>
      </c>
      <c r="T663" s="50">
        <v>40</v>
      </c>
      <c r="U663" s="50">
        <v>13.32</v>
      </c>
      <c r="V663" s="50">
        <v>64.8</v>
      </c>
      <c r="W663" s="50">
        <v>56</v>
      </c>
      <c r="X663" s="50">
        <v>434</v>
      </c>
      <c r="Y663" s="50">
        <v>12.55</v>
      </c>
      <c r="Z663" s="50">
        <v>25.8</v>
      </c>
      <c r="AA663" s="50">
        <v>6.34</v>
      </c>
      <c r="AB663" s="50"/>
      <c r="AC663" s="50"/>
      <c r="AD663" s="50"/>
      <c r="AE663" s="50"/>
      <c r="AF663" s="50"/>
      <c r="AG663" s="50"/>
      <c r="AH663" s="50"/>
      <c r="AI663" s="50"/>
      <c r="AJ663" s="50"/>
    </row>
    <row r="664" spans="1:36" ht="15" customHeight="1" x14ac:dyDescent="0.25">
      <c r="A664" s="50">
        <v>133</v>
      </c>
      <c r="B664" s="50" t="s">
        <v>926</v>
      </c>
      <c r="C664" s="50" t="s">
        <v>1357</v>
      </c>
      <c r="D664" s="50">
        <v>50</v>
      </c>
      <c r="E664" s="50" t="s">
        <v>1359</v>
      </c>
      <c r="F664" s="50">
        <v>8</v>
      </c>
      <c r="G664" s="50">
        <v>6.7</v>
      </c>
      <c r="H664" s="50">
        <v>45</v>
      </c>
      <c r="I664" s="50">
        <v>3.28</v>
      </c>
      <c r="J664" s="50">
        <v>97</v>
      </c>
      <c r="K664" s="50">
        <v>94</v>
      </c>
      <c r="L664" s="50">
        <v>6.15</v>
      </c>
      <c r="M664" s="50">
        <v>6.17</v>
      </c>
      <c r="N664" s="50">
        <v>49</v>
      </c>
      <c r="O664" s="50">
        <v>11.4</v>
      </c>
      <c r="P664" s="50">
        <v>11.3</v>
      </c>
      <c r="Q664" s="50">
        <v>48.3</v>
      </c>
      <c r="R664" s="50">
        <v>36.700000000000003</v>
      </c>
      <c r="S664" s="50">
        <v>20.3</v>
      </c>
      <c r="T664" s="50">
        <v>42</v>
      </c>
      <c r="U664" s="50">
        <v>12.63</v>
      </c>
      <c r="V664" s="50">
        <v>63.7</v>
      </c>
      <c r="W664" s="50">
        <v>57</v>
      </c>
      <c r="X664" s="50">
        <v>434</v>
      </c>
      <c r="Y664" s="50">
        <v>12.18</v>
      </c>
      <c r="Z664" s="50">
        <v>26.5</v>
      </c>
      <c r="AA664" s="50">
        <v>6.39</v>
      </c>
      <c r="AB664" s="50"/>
      <c r="AC664" s="50"/>
      <c r="AD664" s="50"/>
      <c r="AE664" s="50"/>
      <c r="AF664" s="50"/>
      <c r="AG664" s="50"/>
      <c r="AH664" s="50"/>
      <c r="AI664" s="50"/>
      <c r="AJ664" s="50"/>
    </row>
    <row r="665" spans="1:36" ht="15" customHeight="1" x14ac:dyDescent="0.25">
      <c r="A665" s="50">
        <v>133</v>
      </c>
      <c r="B665" s="50" t="s">
        <v>926</v>
      </c>
      <c r="C665" s="50" t="s">
        <v>1357</v>
      </c>
      <c r="D665" s="50">
        <v>50</v>
      </c>
      <c r="E665" s="50" t="s">
        <v>1359</v>
      </c>
      <c r="F665" s="50">
        <v>12</v>
      </c>
      <c r="G665" s="50">
        <v>6.3</v>
      </c>
      <c r="H665" s="50">
        <v>40</v>
      </c>
      <c r="I665" s="50">
        <v>3.33</v>
      </c>
      <c r="J665" s="50">
        <v>100</v>
      </c>
      <c r="K665" s="50">
        <v>91</v>
      </c>
      <c r="L665" s="50">
        <v>5.89</v>
      </c>
      <c r="M665" s="50">
        <v>5.96</v>
      </c>
      <c r="N665" s="50">
        <v>47</v>
      </c>
      <c r="O665" s="50">
        <v>11.3</v>
      </c>
      <c r="P665" s="50">
        <v>12.3</v>
      </c>
      <c r="Q665" s="50">
        <v>42.6</v>
      </c>
      <c r="R665" s="50">
        <v>38.5</v>
      </c>
      <c r="S665" s="50">
        <v>23.6</v>
      </c>
      <c r="T665" s="50">
        <v>45</v>
      </c>
      <c r="U665" s="50">
        <v>11.65</v>
      </c>
      <c r="V665" s="50">
        <v>65.099999999999994</v>
      </c>
      <c r="W665" s="50">
        <v>60</v>
      </c>
      <c r="X665" s="50">
        <v>443</v>
      </c>
      <c r="Y665" s="50">
        <v>12.08</v>
      </c>
      <c r="Z665" s="50">
        <v>26</v>
      </c>
      <c r="AA665" s="50">
        <v>6.63</v>
      </c>
      <c r="AB665" s="50"/>
      <c r="AC665" s="50"/>
      <c r="AD665" s="50"/>
      <c r="AE665" s="50"/>
      <c r="AF665" s="50"/>
      <c r="AG665" s="50"/>
      <c r="AH665" s="50"/>
      <c r="AI665" s="50"/>
      <c r="AJ665" s="50"/>
    </row>
    <row r="666" spans="1:36" ht="15" customHeight="1" x14ac:dyDescent="0.25">
      <c r="A666" s="50">
        <v>133</v>
      </c>
      <c r="B666" s="50" t="s">
        <v>926</v>
      </c>
      <c r="C666" s="50" t="s">
        <v>1357</v>
      </c>
      <c r="D666" s="50">
        <v>50</v>
      </c>
      <c r="E666" s="50" t="s">
        <v>1359</v>
      </c>
      <c r="F666" s="50">
        <v>21</v>
      </c>
      <c r="G666" s="50">
        <v>5.4</v>
      </c>
      <c r="H666" s="50">
        <v>40</v>
      </c>
      <c r="I666" s="50">
        <v>2.96</v>
      </c>
      <c r="J666" s="50">
        <v>107</v>
      </c>
      <c r="K666" s="50">
        <v>85</v>
      </c>
      <c r="L666" s="50">
        <v>4.9000000000000004</v>
      </c>
      <c r="M666" s="50">
        <v>5.34</v>
      </c>
      <c r="N666" s="50">
        <v>46</v>
      </c>
      <c r="O666" s="50">
        <v>10.6</v>
      </c>
      <c r="P666" s="50">
        <v>10.9</v>
      </c>
      <c r="Q666" s="50">
        <v>43.2</v>
      </c>
      <c r="R666" s="50">
        <v>42.5</v>
      </c>
      <c r="S666" s="50">
        <v>26.6</v>
      </c>
      <c r="T666" s="50">
        <v>51</v>
      </c>
      <c r="U666" s="50">
        <v>10.76</v>
      </c>
      <c r="V666" s="50">
        <v>65.099999999999994</v>
      </c>
      <c r="W666" s="50">
        <v>66</v>
      </c>
      <c r="X666" s="50">
        <v>470</v>
      </c>
      <c r="Y666" s="50">
        <v>11.4</v>
      </c>
      <c r="Z666" s="50">
        <v>32.6</v>
      </c>
      <c r="AA666" s="50">
        <v>6.4</v>
      </c>
      <c r="AB666" s="50"/>
      <c r="AC666" s="50"/>
      <c r="AD666" s="50"/>
      <c r="AE666" s="50"/>
      <c r="AF666" s="50"/>
      <c r="AG666" s="50"/>
      <c r="AH666" s="50"/>
      <c r="AI666" s="50"/>
      <c r="AJ666" s="50"/>
    </row>
    <row r="667" spans="1:36" ht="15" customHeight="1" x14ac:dyDescent="0.25">
      <c r="A667" s="50">
        <v>134</v>
      </c>
      <c r="B667" s="50" t="s">
        <v>926</v>
      </c>
      <c r="C667" s="50" t="s">
        <v>1357</v>
      </c>
      <c r="D667" s="50">
        <v>63</v>
      </c>
      <c r="E667" s="50" t="s">
        <v>1359</v>
      </c>
      <c r="F667" s="50">
        <v>0</v>
      </c>
      <c r="G667" s="50">
        <v>7.1</v>
      </c>
      <c r="H667" s="50">
        <v>48</v>
      </c>
      <c r="I667" s="50">
        <v>4.47</v>
      </c>
      <c r="J667" s="50">
        <v>105</v>
      </c>
      <c r="K667" s="50">
        <v>100</v>
      </c>
      <c r="L667" s="50">
        <v>5.54</v>
      </c>
      <c r="M667" s="50">
        <v>4.37</v>
      </c>
      <c r="N667" s="50">
        <v>49</v>
      </c>
      <c r="O667" s="50">
        <v>9.6</v>
      </c>
      <c r="P667" s="50">
        <v>12.7</v>
      </c>
      <c r="Q667" s="50">
        <v>56.2</v>
      </c>
      <c r="R667" s="50">
        <v>30.5</v>
      </c>
      <c r="S667" s="50">
        <v>20.100000000000001</v>
      </c>
      <c r="T667" s="50">
        <v>44</v>
      </c>
      <c r="U667" s="50">
        <v>4.9400000000000004</v>
      </c>
      <c r="V667" s="50">
        <v>58</v>
      </c>
      <c r="W667" s="50">
        <v>42</v>
      </c>
      <c r="X667" s="50">
        <v>278</v>
      </c>
      <c r="Y667" s="50">
        <v>13</v>
      </c>
      <c r="Z667" s="50">
        <v>28.4</v>
      </c>
      <c r="AA667" s="50">
        <v>5.38</v>
      </c>
      <c r="AB667" s="50"/>
      <c r="AC667" s="50"/>
      <c r="AD667" s="50"/>
      <c r="AE667" s="50"/>
      <c r="AF667" s="50"/>
      <c r="AG667" s="50"/>
      <c r="AH667" s="50"/>
      <c r="AI667" s="50"/>
      <c r="AJ667" s="50"/>
    </row>
    <row r="668" spans="1:36" ht="15" customHeight="1" x14ac:dyDescent="0.25">
      <c r="A668" s="50">
        <v>134</v>
      </c>
      <c r="B668" s="50" t="s">
        <v>926</v>
      </c>
      <c r="C668" s="50" t="s">
        <v>1357</v>
      </c>
      <c r="D668" s="50">
        <v>63</v>
      </c>
      <c r="E668" s="50" t="s">
        <v>1359</v>
      </c>
      <c r="F668" s="50">
        <v>4</v>
      </c>
      <c r="G668" s="50">
        <v>6.9</v>
      </c>
      <c r="H668" s="50">
        <v>46</v>
      </c>
      <c r="I668" s="50">
        <v>4.4000000000000004</v>
      </c>
      <c r="J668" s="50">
        <v>105</v>
      </c>
      <c r="K668" s="50">
        <v>97</v>
      </c>
      <c r="L668" s="50">
        <v>5.45</v>
      </c>
      <c r="M668" s="50">
        <v>4.2300000000000004</v>
      </c>
      <c r="N668" s="50">
        <v>48</v>
      </c>
      <c r="O668" s="50">
        <v>9.6</v>
      </c>
      <c r="P668" s="50">
        <v>13</v>
      </c>
      <c r="Q668" s="50">
        <v>50.6</v>
      </c>
      <c r="R668" s="50">
        <v>31.2</v>
      </c>
      <c r="S668" s="50">
        <v>20</v>
      </c>
      <c r="T668" s="50">
        <v>45</v>
      </c>
      <c r="U668" s="50">
        <v>3.8</v>
      </c>
      <c r="V668" s="50">
        <v>58.5</v>
      </c>
      <c r="W668" s="50">
        <v>44</v>
      </c>
      <c r="X668" s="50">
        <v>284</v>
      </c>
      <c r="Y668" s="50">
        <v>12.67</v>
      </c>
      <c r="Z668" s="50">
        <v>30.2</v>
      </c>
      <c r="AA668" s="50">
        <v>5.33</v>
      </c>
      <c r="AB668" s="50"/>
      <c r="AC668" s="50"/>
      <c r="AD668" s="50"/>
      <c r="AE668" s="50"/>
      <c r="AF668" s="50"/>
      <c r="AG668" s="50"/>
      <c r="AH668" s="50"/>
      <c r="AI668" s="50"/>
      <c r="AJ668" s="50"/>
    </row>
    <row r="669" spans="1:36" ht="15" customHeight="1" x14ac:dyDescent="0.25">
      <c r="A669" s="50">
        <v>134</v>
      </c>
      <c r="B669" s="50" t="s">
        <v>926</v>
      </c>
      <c r="C669" s="50" t="s">
        <v>1357</v>
      </c>
      <c r="D669" s="50">
        <v>63</v>
      </c>
      <c r="E669" s="50" t="s">
        <v>1359</v>
      </c>
      <c r="F669" s="50">
        <v>8</v>
      </c>
      <c r="G669" s="50">
        <v>6.4</v>
      </c>
      <c r="H669" s="50">
        <v>45</v>
      </c>
      <c r="I669" s="50">
        <v>4.2300000000000004</v>
      </c>
      <c r="J669" s="50">
        <v>112</v>
      </c>
      <c r="K669" s="50">
        <v>94</v>
      </c>
      <c r="L669" s="50">
        <v>5.33</v>
      </c>
      <c r="M669" s="50">
        <v>3.81</v>
      </c>
      <c r="N669" s="50">
        <v>44</v>
      </c>
      <c r="O669" s="50">
        <v>9.1999999999999993</v>
      </c>
      <c r="P669" s="50">
        <v>12.2</v>
      </c>
      <c r="Q669" s="50">
        <v>51.2</v>
      </c>
      <c r="R669" s="50">
        <v>33.799999999999997</v>
      </c>
      <c r="S669" s="50">
        <v>21.2</v>
      </c>
      <c r="T669" s="50">
        <v>46</v>
      </c>
      <c r="U669" s="50">
        <v>4.46</v>
      </c>
      <c r="V669" s="50">
        <v>57</v>
      </c>
      <c r="W669" s="50">
        <v>45</v>
      </c>
      <c r="X669" s="50">
        <v>302</v>
      </c>
      <c r="Y669" s="50">
        <v>11.6</v>
      </c>
      <c r="Z669" s="50">
        <v>32.6</v>
      </c>
      <c r="AA669" s="50">
        <v>5.59</v>
      </c>
      <c r="AB669" s="50"/>
      <c r="AC669" s="50"/>
      <c r="AD669" s="50"/>
      <c r="AE669" s="50"/>
      <c r="AF669" s="50"/>
      <c r="AG669" s="50"/>
      <c r="AH669" s="50"/>
      <c r="AI669" s="50"/>
      <c r="AJ669" s="50"/>
    </row>
    <row r="670" spans="1:36" ht="15" customHeight="1" x14ac:dyDescent="0.25">
      <c r="A670" s="50">
        <v>134</v>
      </c>
      <c r="B670" s="50" t="s">
        <v>926</v>
      </c>
      <c r="C670" s="50" t="s">
        <v>1357</v>
      </c>
      <c r="D670" s="50">
        <v>63</v>
      </c>
      <c r="E670" s="50" t="s">
        <v>1359</v>
      </c>
      <c r="F670" s="50">
        <v>12</v>
      </c>
      <c r="G670" s="50">
        <v>5.7</v>
      </c>
      <c r="H670" s="50">
        <v>44</v>
      </c>
      <c r="I670" s="50">
        <v>4.17</v>
      </c>
      <c r="J670" s="50">
        <v>112</v>
      </c>
      <c r="K670" s="50">
        <v>91</v>
      </c>
      <c r="L670" s="50">
        <v>4.88</v>
      </c>
      <c r="M670" s="50">
        <v>3.65</v>
      </c>
      <c r="N670" s="50">
        <v>44</v>
      </c>
      <c r="O670" s="50">
        <v>9.6999999999999993</v>
      </c>
      <c r="P670" s="50">
        <v>11.4</v>
      </c>
      <c r="Q670" s="50">
        <v>45.5</v>
      </c>
      <c r="R670" s="50">
        <v>40.4</v>
      </c>
      <c r="S670" s="50">
        <v>25</v>
      </c>
      <c r="T670" s="50">
        <v>53</v>
      </c>
      <c r="U670" s="50">
        <v>4.72</v>
      </c>
      <c r="V670" s="50">
        <v>61.5</v>
      </c>
      <c r="W670" s="50">
        <v>50</v>
      </c>
      <c r="X670" s="50">
        <v>322</v>
      </c>
      <c r="Y670" s="50">
        <v>11.93</v>
      </c>
      <c r="Z670" s="50">
        <v>34.299999999999997</v>
      </c>
      <c r="AA670" s="50">
        <v>5.48</v>
      </c>
      <c r="AB670" s="50"/>
      <c r="AC670" s="50"/>
      <c r="AD670" s="50"/>
      <c r="AE670" s="50"/>
      <c r="AF670" s="50"/>
      <c r="AG670" s="50"/>
      <c r="AH670" s="50"/>
      <c r="AI670" s="50"/>
      <c r="AJ670" s="50"/>
    </row>
    <row r="671" spans="1:36" ht="15" customHeight="1" x14ac:dyDescent="0.25">
      <c r="A671" s="50">
        <v>134</v>
      </c>
      <c r="B671" s="50" t="s">
        <v>926</v>
      </c>
      <c r="C671" s="50" t="s">
        <v>1357</v>
      </c>
      <c r="D671" s="50">
        <v>63</v>
      </c>
      <c r="E671" s="50" t="s">
        <v>1359</v>
      </c>
      <c r="F671" s="50">
        <v>21</v>
      </c>
      <c r="G671" s="50">
        <v>5.2</v>
      </c>
      <c r="H671" s="50">
        <v>43</v>
      </c>
      <c r="I671" s="50">
        <v>3.8</v>
      </c>
      <c r="J671" s="50">
        <v>114</v>
      </c>
      <c r="K671" s="50">
        <v>85</v>
      </c>
      <c r="L671" s="50">
        <v>4.3099999999999996</v>
      </c>
      <c r="M671" s="50">
        <v>3.47</v>
      </c>
      <c r="N671" s="50">
        <v>41</v>
      </c>
      <c r="O671" s="50">
        <v>9.5</v>
      </c>
      <c r="P671" s="50">
        <v>11.1</v>
      </c>
      <c r="Q671" s="50">
        <v>42</v>
      </c>
      <c r="R671" s="50">
        <v>45</v>
      </c>
      <c r="S671" s="50">
        <v>27.4</v>
      </c>
      <c r="T671" s="50">
        <v>56</v>
      </c>
      <c r="U671" s="50">
        <v>4.88</v>
      </c>
      <c r="V671" s="50">
        <v>62.2</v>
      </c>
      <c r="W671" s="50">
        <v>55</v>
      </c>
      <c r="X671" s="50">
        <v>339</v>
      </c>
      <c r="Y671" s="50">
        <v>11.47</v>
      </c>
      <c r="Z671" s="50">
        <v>34.1</v>
      </c>
      <c r="AA671" s="50">
        <v>5.85</v>
      </c>
      <c r="AB671" s="50"/>
      <c r="AC671" s="50"/>
      <c r="AD671" s="50"/>
      <c r="AE671" s="50"/>
      <c r="AF671" s="50"/>
      <c r="AG671" s="50"/>
      <c r="AH671" s="50"/>
      <c r="AI671" s="50"/>
      <c r="AJ671" s="50"/>
    </row>
    <row r="672" spans="1:36" ht="15" customHeight="1" x14ac:dyDescent="0.25">
      <c r="A672" s="50">
        <v>135</v>
      </c>
      <c r="B672" s="50" t="s">
        <v>926</v>
      </c>
      <c r="C672" s="50" t="s">
        <v>1352</v>
      </c>
      <c r="D672" s="50">
        <v>43</v>
      </c>
      <c r="E672" s="50" t="s">
        <v>1355</v>
      </c>
      <c r="F672" s="50">
        <v>0</v>
      </c>
      <c r="G672" s="50">
        <v>6.5</v>
      </c>
      <c r="H672" s="50">
        <v>41</v>
      </c>
      <c r="I672" s="50">
        <v>3.56</v>
      </c>
      <c r="J672" s="50">
        <v>113</v>
      </c>
      <c r="K672" s="50">
        <v>100</v>
      </c>
      <c r="L672" s="50">
        <v>6.92</v>
      </c>
      <c r="M672" s="50">
        <v>5.0199999999999996</v>
      </c>
      <c r="N672" s="50">
        <v>35</v>
      </c>
      <c r="O672" s="50">
        <v>13</v>
      </c>
      <c r="P672" s="50">
        <v>11</v>
      </c>
      <c r="Q672" s="50">
        <v>49.1</v>
      </c>
      <c r="R672" s="50">
        <v>39.799999999999997</v>
      </c>
      <c r="S672" s="50">
        <v>12.2</v>
      </c>
      <c r="T672" s="50">
        <v>40</v>
      </c>
      <c r="U672" s="50">
        <v>12.72</v>
      </c>
      <c r="V672" s="50">
        <v>55.6</v>
      </c>
      <c r="W672" s="50">
        <v>18</v>
      </c>
      <c r="X672" s="50">
        <v>361</v>
      </c>
      <c r="Y672" s="50">
        <v>16.47</v>
      </c>
      <c r="Z672" s="50">
        <v>19.8</v>
      </c>
      <c r="AA672" s="50">
        <v>3.99</v>
      </c>
      <c r="AB672" s="50"/>
      <c r="AC672" s="50"/>
      <c r="AD672" s="50"/>
      <c r="AE672" s="50"/>
      <c r="AF672" s="50"/>
      <c r="AG672" s="50"/>
      <c r="AH672" s="50"/>
      <c r="AI672" s="50"/>
      <c r="AJ672" s="50"/>
    </row>
    <row r="673" spans="1:36" ht="15" customHeight="1" x14ac:dyDescent="0.25">
      <c r="A673" s="50">
        <v>135</v>
      </c>
      <c r="B673" s="50" t="s">
        <v>926</v>
      </c>
      <c r="C673" s="50" t="s">
        <v>1352</v>
      </c>
      <c r="D673" s="50">
        <v>43</v>
      </c>
      <c r="E673" s="50" t="s">
        <v>1355</v>
      </c>
      <c r="F673" s="50">
        <v>4</v>
      </c>
      <c r="G673" s="50">
        <v>6.3</v>
      </c>
      <c r="H673" s="50">
        <v>39</v>
      </c>
      <c r="I673" s="50">
        <v>3.45</v>
      </c>
      <c r="J673" s="50">
        <v>118</v>
      </c>
      <c r="K673" s="50">
        <v>97</v>
      </c>
      <c r="L673" s="50">
        <v>6.69</v>
      </c>
      <c r="M673" s="50">
        <v>5.0999999999999996</v>
      </c>
      <c r="N673" s="50">
        <v>35</v>
      </c>
      <c r="O673" s="50">
        <v>12.9</v>
      </c>
      <c r="P673" s="50">
        <v>10</v>
      </c>
      <c r="Q673" s="50">
        <v>46.8</v>
      </c>
      <c r="R673" s="50">
        <v>41.1</v>
      </c>
      <c r="S673" s="50">
        <v>12.7</v>
      </c>
      <c r="T673" s="50">
        <v>44</v>
      </c>
      <c r="U673" s="50">
        <v>13.11</v>
      </c>
      <c r="V673" s="50">
        <v>59.3</v>
      </c>
      <c r="W673" s="50">
        <v>19</v>
      </c>
      <c r="X673" s="50">
        <v>376</v>
      </c>
      <c r="Y673" s="50">
        <v>15.95</v>
      </c>
      <c r="Z673" s="50">
        <v>19.600000000000001</v>
      </c>
      <c r="AA673" s="50">
        <v>4.1100000000000003</v>
      </c>
      <c r="AB673" s="50"/>
      <c r="AC673" s="50"/>
      <c r="AD673" s="50"/>
      <c r="AE673" s="50"/>
      <c r="AF673" s="50"/>
      <c r="AG673" s="50"/>
      <c r="AH673" s="50"/>
      <c r="AI673" s="50"/>
      <c r="AJ673" s="50"/>
    </row>
    <row r="674" spans="1:36" ht="15" customHeight="1" x14ac:dyDescent="0.25">
      <c r="A674" s="50">
        <v>135</v>
      </c>
      <c r="B674" s="50" t="s">
        <v>926</v>
      </c>
      <c r="C674" s="50" t="s">
        <v>1352</v>
      </c>
      <c r="D674" s="50">
        <v>43</v>
      </c>
      <c r="E674" s="50" t="s">
        <v>1355</v>
      </c>
      <c r="F674" s="50">
        <v>8</v>
      </c>
      <c r="G674" s="50">
        <v>5.9</v>
      </c>
      <c r="H674" s="50">
        <v>38</v>
      </c>
      <c r="I674" s="50">
        <v>3.48</v>
      </c>
      <c r="J674" s="50">
        <v>114</v>
      </c>
      <c r="K674" s="50">
        <v>94</v>
      </c>
      <c r="L674" s="50">
        <v>6.53</v>
      </c>
      <c r="M674" s="50">
        <v>4.71</v>
      </c>
      <c r="N674" s="50">
        <v>34</v>
      </c>
      <c r="O674" s="50">
        <v>12.2</v>
      </c>
      <c r="P674" s="50">
        <v>9.9</v>
      </c>
      <c r="Q674" s="50">
        <v>46.6</v>
      </c>
      <c r="R674" s="50">
        <v>44.7</v>
      </c>
      <c r="S674" s="50">
        <v>15.1</v>
      </c>
      <c r="T674" s="50">
        <v>46</v>
      </c>
      <c r="U674" s="50">
        <v>13.09</v>
      </c>
      <c r="V674" s="50">
        <v>59.6</v>
      </c>
      <c r="W674" s="50">
        <v>25</v>
      </c>
      <c r="X674" s="50">
        <v>385</v>
      </c>
      <c r="Y674" s="50">
        <v>15.6</v>
      </c>
      <c r="Z674" s="50">
        <v>23.8</v>
      </c>
      <c r="AA674" s="50">
        <v>4.42</v>
      </c>
      <c r="AB674" s="50"/>
      <c r="AC674" s="50"/>
      <c r="AD674" s="50"/>
      <c r="AE674" s="50"/>
      <c r="AF674" s="50"/>
      <c r="AG674" s="50"/>
      <c r="AH674" s="50"/>
      <c r="AI674" s="50"/>
      <c r="AJ674" s="50"/>
    </row>
    <row r="675" spans="1:36" ht="15" customHeight="1" x14ac:dyDescent="0.25">
      <c r="A675" s="50">
        <v>135</v>
      </c>
      <c r="B675" s="50" t="s">
        <v>926</v>
      </c>
      <c r="C675" s="50" t="s">
        <v>1352</v>
      </c>
      <c r="D675" s="50">
        <v>43</v>
      </c>
      <c r="E675" s="50" t="s">
        <v>1355</v>
      </c>
      <c r="F675" s="50">
        <v>12</v>
      </c>
      <c r="G675" s="50">
        <v>5.7</v>
      </c>
      <c r="H675" s="50">
        <v>35</v>
      </c>
      <c r="I675" s="50">
        <v>3.37</v>
      </c>
      <c r="J675" s="50">
        <v>115</v>
      </c>
      <c r="K675" s="50">
        <v>91</v>
      </c>
      <c r="L675" s="50">
        <v>6.16</v>
      </c>
      <c r="M675" s="50">
        <v>4.58</v>
      </c>
      <c r="N675" s="50">
        <v>33</v>
      </c>
      <c r="O675" s="50">
        <v>12.4</v>
      </c>
      <c r="P675" s="50">
        <v>9.1</v>
      </c>
      <c r="Q675" s="50">
        <v>43.8</v>
      </c>
      <c r="R675" s="50">
        <v>44.7</v>
      </c>
      <c r="S675" s="50">
        <v>16.3</v>
      </c>
      <c r="T675" s="50">
        <v>47</v>
      </c>
      <c r="U675" s="50">
        <v>12.15</v>
      </c>
      <c r="V675" s="50">
        <v>58.8</v>
      </c>
      <c r="W675" s="50">
        <v>27</v>
      </c>
      <c r="X675" s="50">
        <v>382</v>
      </c>
      <c r="Y675" s="50">
        <v>15.36</v>
      </c>
      <c r="Z675" s="50">
        <v>23.4</v>
      </c>
      <c r="AA675" s="50">
        <v>4.55</v>
      </c>
      <c r="AB675" s="50"/>
      <c r="AC675" s="50"/>
      <c r="AD675" s="50"/>
      <c r="AE675" s="50"/>
      <c r="AF675" s="50"/>
      <c r="AG675" s="50"/>
      <c r="AH675" s="50"/>
      <c r="AI675" s="50"/>
      <c r="AJ675" s="50"/>
    </row>
    <row r="676" spans="1:36" ht="15" customHeight="1" x14ac:dyDescent="0.25">
      <c r="A676" s="50">
        <v>135</v>
      </c>
      <c r="B676" s="50" t="s">
        <v>926</v>
      </c>
      <c r="C676" s="50" t="s">
        <v>1352</v>
      </c>
      <c r="D676" s="50">
        <v>43</v>
      </c>
      <c r="E676" s="50" t="s">
        <v>1355</v>
      </c>
      <c r="F676" s="50">
        <v>21</v>
      </c>
      <c r="G676" s="50">
        <v>4.9000000000000004</v>
      </c>
      <c r="H676" s="50">
        <v>34</v>
      </c>
      <c r="I676" s="50">
        <v>3.11</v>
      </c>
      <c r="J676" s="50">
        <v>125</v>
      </c>
      <c r="K676" s="50">
        <v>85</v>
      </c>
      <c r="L676" s="50">
        <v>5.4</v>
      </c>
      <c r="M676" s="50">
        <v>4.09</v>
      </c>
      <c r="N676" s="50">
        <v>30</v>
      </c>
      <c r="O676" s="50">
        <v>11.4</v>
      </c>
      <c r="P676" s="50">
        <v>10.1</v>
      </c>
      <c r="Q676" s="50">
        <v>39.4</v>
      </c>
      <c r="R676" s="50">
        <v>47.6</v>
      </c>
      <c r="S676" s="50">
        <v>21.5</v>
      </c>
      <c r="T676" s="50">
        <v>52</v>
      </c>
      <c r="U676" s="50">
        <v>10.65</v>
      </c>
      <c r="V676" s="50">
        <v>61.4</v>
      </c>
      <c r="W676" s="50">
        <v>35</v>
      </c>
      <c r="X676" s="50">
        <v>411</v>
      </c>
      <c r="Y676" s="50">
        <v>13.73</v>
      </c>
      <c r="Z676" s="50">
        <v>28.2</v>
      </c>
      <c r="AA676" s="50">
        <v>4.9000000000000004</v>
      </c>
      <c r="AB676" s="50"/>
      <c r="AC676" s="50"/>
      <c r="AD676" s="50"/>
      <c r="AE676" s="50"/>
      <c r="AF676" s="50"/>
      <c r="AG676" s="50"/>
      <c r="AH676" s="50"/>
      <c r="AI676" s="50"/>
      <c r="AJ676" s="50"/>
    </row>
    <row r="677" spans="1:36" ht="15" customHeight="1" x14ac:dyDescent="0.25">
      <c r="A677" s="50">
        <v>136</v>
      </c>
      <c r="B677" s="50" t="s">
        <v>926</v>
      </c>
      <c r="C677" s="50" t="s">
        <v>1352</v>
      </c>
      <c r="D677" s="50">
        <v>34</v>
      </c>
      <c r="E677" s="50" t="s">
        <v>1360</v>
      </c>
      <c r="F677" s="50">
        <v>0</v>
      </c>
      <c r="G677" s="50">
        <v>6.4</v>
      </c>
      <c r="H677" s="50">
        <v>61</v>
      </c>
      <c r="I677" s="50">
        <v>3.12</v>
      </c>
      <c r="J677" s="50">
        <v>82</v>
      </c>
      <c r="K677" s="50">
        <v>100</v>
      </c>
      <c r="L677" s="50">
        <v>6.85</v>
      </c>
      <c r="M677" s="50">
        <v>6.76</v>
      </c>
      <c r="N677" s="50">
        <v>52</v>
      </c>
      <c r="O677" s="50">
        <v>13.1</v>
      </c>
      <c r="P677" s="50">
        <v>13.5</v>
      </c>
      <c r="Q677" s="50">
        <v>54.3</v>
      </c>
      <c r="R677" s="50">
        <v>35.200000000000003</v>
      </c>
      <c r="S677" s="50">
        <v>22.9</v>
      </c>
      <c r="T677" s="50">
        <v>37</v>
      </c>
      <c r="U677" s="50">
        <v>8.16</v>
      </c>
      <c r="V677" s="50">
        <v>55.7</v>
      </c>
      <c r="W677" s="50">
        <v>49</v>
      </c>
      <c r="X677" s="50">
        <v>302</v>
      </c>
      <c r="Y677" s="50">
        <v>10.54</v>
      </c>
      <c r="Z677" s="50">
        <v>36.1</v>
      </c>
      <c r="AA677" s="50">
        <v>5.19</v>
      </c>
      <c r="AB677" s="50"/>
      <c r="AC677" s="50"/>
      <c r="AD677" s="50"/>
      <c r="AE677" s="50"/>
      <c r="AF677" s="50"/>
      <c r="AG677" s="50"/>
      <c r="AH677" s="50"/>
      <c r="AI677" s="50"/>
      <c r="AJ677" s="50"/>
    </row>
    <row r="678" spans="1:36" ht="15" customHeight="1" x14ac:dyDescent="0.25">
      <c r="A678" s="50">
        <v>136</v>
      </c>
      <c r="B678" s="50" t="s">
        <v>926</v>
      </c>
      <c r="C678" s="50" t="s">
        <v>1352</v>
      </c>
      <c r="D678" s="50">
        <v>34</v>
      </c>
      <c r="E678" s="50" t="s">
        <v>1360</v>
      </c>
      <c r="F678" s="50">
        <v>4</v>
      </c>
      <c r="G678" s="50">
        <v>6.3</v>
      </c>
      <c r="H678" s="50">
        <v>60</v>
      </c>
      <c r="I678" s="50">
        <v>3.11</v>
      </c>
      <c r="J678" s="50">
        <v>83</v>
      </c>
      <c r="K678" s="50">
        <v>97</v>
      </c>
      <c r="L678" s="50">
        <v>6.61</v>
      </c>
      <c r="M678" s="50">
        <v>6.87</v>
      </c>
      <c r="N678" s="50">
        <v>52</v>
      </c>
      <c r="O678" s="50">
        <v>13.1</v>
      </c>
      <c r="P678" s="50">
        <v>13</v>
      </c>
      <c r="Q678" s="50">
        <v>52.3</v>
      </c>
      <c r="R678" s="50">
        <v>35.200000000000003</v>
      </c>
      <c r="S678" s="50">
        <v>20.399999999999999</v>
      </c>
      <c r="T678" s="50">
        <v>38</v>
      </c>
      <c r="U678" s="50">
        <v>7.81</v>
      </c>
      <c r="V678" s="50">
        <v>57</v>
      </c>
      <c r="W678" s="50">
        <v>51</v>
      </c>
      <c r="X678" s="50">
        <v>307</v>
      </c>
      <c r="Y678" s="50">
        <v>10.14</v>
      </c>
      <c r="Z678" s="50">
        <v>37.200000000000003</v>
      </c>
      <c r="AA678" s="50">
        <v>5.44</v>
      </c>
      <c r="AB678" s="50"/>
      <c r="AC678" s="50"/>
      <c r="AD678" s="50"/>
      <c r="AE678" s="50"/>
      <c r="AF678" s="50"/>
      <c r="AG678" s="50"/>
      <c r="AH678" s="50"/>
      <c r="AI678" s="50"/>
      <c r="AJ678" s="50"/>
    </row>
    <row r="679" spans="1:36" ht="15" customHeight="1" x14ac:dyDescent="0.25">
      <c r="A679" s="50">
        <v>136</v>
      </c>
      <c r="B679" s="50" t="s">
        <v>926</v>
      </c>
      <c r="C679" s="50" t="s">
        <v>1352</v>
      </c>
      <c r="D679" s="50">
        <v>34</v>
      </c>
      <c r="E679" s="50" t="s">
        <v>1360</v>
      </c>
      <c r="F679" s="50">
        <v>8</v>
      </c>
      <c r="G679" s="50">
        <v>6.1</v>
      </c>
      <c r="H679" s="50">
        <v>59</v>
      </c>
      <c r="I679" s="50">
        <v>3.06</v>
      </c>
      <c r="J679" s="50">
        <v>86</v>
      </c>
      <c r="K679" s="50">
        <v>94</v>
      </c>
      <c r="L679" s="50">
        <v>6.55</v>
      </c>
      <c r="M679" s="50">
        <v>6.62</v>
      </c>
      <c r="N679" s="50">
        <v>50</v>
      </c>
      <c r="O679" s="50">
        <v>11.7</v>
      </c>
      <c r="P679" s="50">
        <v>13.7</v>
      </c>
      <c r="Q679" s="50">
        <v>52.9</v>
      </c>
      <c r="R679" s="50">
        <v>35.4</v>
      </c>
      <c r="S679" s="50">
        <v>24.1</v>
      </c>
      <c r="T679" s="50">
        <v>37</v>
      </c>
      <c r="U679" s="50">
        <v>8</v>
      </c>
      <c r="V679" s="50">
        <v>57.9</v>
      </c>
      <c r="W679" s="50">
        <v>50</v>
      </c>
      <c r="X679" s="50">
        <v>312</v>
      </c>
      <c r="Y679" s="50">
        <v>9.7799999999999994</v>
      </c>
      <c r="Z679" s="50">
        <v>37.4</v>
      </c>
      <c r="AA679" s="50">
        <v>5.43</v>
      </c>
      <c r="AB679" s="50"/>
      <c r="AC679" s="50"/>
      <c r="AD679" s="50"/>
      <c r="AE679" s="50"/>
      <c r="AF679" s="50"/>
      <c r="AG679" s="50"/>
      <c r="AH679" s="50"/>
      <c r="AI679" s="50"/>
      <c r="AJ679" s="50"/>
    </row>
    <row r="680" spans="1:36" ht="15" customHeight="1" x14ac:dyDescent="0.25">
      <c r="A680" s="50">
        <v>136</v>
      </c>
      <c r="B680" s="50" t="s">
        <v>926</v>
      </c>
      <c r="C680" s="50" t="s">
        <v>1352</v>
      </c>
      <c r="D680" s="50">
        <v>34</v>
      </c>
      <c r="E680" s="50" t="s">
        <v>1360</v>
      </c>
      <c r="F680" s="50">
        <v>12</v>
      </c>
      <c r="G680" s="50">
        <v>5.4</v>
      </c>
      <c r="H680" s="50">
        <v>56</v>
      </c>
      <c r="I680" s="50">
        <v>2.95</v>
      </c>
      <c r="J680" s="50">
        <v>93</v>
      </c>
      <c r="K680" s="50">
        <v>91</v>
      </c>
      <c r="L680" s="50">
        <v>5.82</v>
      </c>
      <c r="M680" s="50">
        <v>5.89</v>
      </c>
      <c r="N680" s="50">
        <v>48</v>
      </c>
      <c r="O680" s="50">
        <v>11.3</v>
      </c>
      <c r="P680" s="50">
        <v>12.9</v>
      </c>
      <c r="Q680" s="50">
        <v>50.7</v>
      </c>
      <c r="R680" s="50">
        <v>38.700000000000003</v>
      </c>
      <c r="S680" s="50">
        <v>27.6</v>
      </c>
      <c r="T680" s="50">
        <v>47</v>
      </c>
      <c r="U680" s="50">
        <v>7.2</v>
      </c>
      <c r="V680" s="50">
        <v>60.6</v>
      </c>
      <c r="W680" s="50">
        <v>51</v>
      </c>
      <c r="X680" s="50">
        <v>350</v>
      </c>
      <c r="Y680" s="50">
        <v>9.6300000000000008</v>
      </c>
      <c r="Z680" s="50">
        <v>39.200000000000003</v>
      </c>
      <c r="AA680" s="50">
        <v>5.6</v>
      </c>
      <c r="AB680" s="50"/>
      <c r="AC680" s="50"/>
      <c r="AD680" s="50"/>
      <c r="AE680" s="50"/>
      <c r="AF680" s="50"/>
      <c r="AG680" s="50"/>
      <c r="AH680" s="50"/>
      <c r="AI680" s="50"/>
      <c r="AJ680" s="50"/>
    </row>
    <row r="681" spans="1:36" ht="15" customHeight="1" x14ac:dyDescent="0.25">
      <c r="A681" s="50">
        <v>136</v>
      </c>
      <c r="B681" s="50" t="s">
        <v>926</v>
      </c>
      <c r="C681" s="50" t="s">
        <v>1352</v>
      </c>
      <c r="D681" s="50">
        <v>34</v>
      </c>
      <c r="E681" s="50" t="s">
        <v>1360</v>
      </c>
      <c r="F681" s="50">
        <v>21</v>
      </c>
      <c r="G681" s="50">
        <v>4.9000000000000004</v>
      </c>
      <c r="H681" s="50">
        <v>53</v>
      </c>
      <c r="I681" s="50">
        <v>2.8</v>
      </c>
      <c r="J681" s="50">
        <v>95</v>
      </c>
      <c r="K681" s="50">
        <v>85</v>
      </c>
      <c r="L681" s="50">
        <v>5.33</v>
      </c>
      <c r="M681" s="50">
        <v>5.24</v>
      </c>
      <c r="N681" s="50">
        <v>46</v>
      </c>
      <c r="O681" s="50">
        <v>10.3</v>
      </c>
      <c r="P681" s="50">
        <v>12.2</v>
      </c>
      <c r="Q681" s="50">
        <v>44.5</v>
      </c>
      <c r="R681" s="50">
        <v>39.799999999999997</v>
      </c>
      <c r="S681" s="50">
        <v>29</v>
      </c>
      <c r="T681" s="50">
        <v>48</v>
      </c>
      <c r="U681" s="50">
        <v>7.25</v>
      </c>
      <c r="V681" s="50">
        <v>60.7</v>
      </c>
      <c r="W681" s="50">
        <v>55</v>
      </c>
      <c r="X681" s="50">
        <v>365</v>
      </c>
      <c r="Y681" s="50">
        <v>9.7100000000000009</v>
      </c>
      <c r="Z681" s="50">
        <v>38.4</v>
      </c>
      <c r="AA681" s="50">
        <v>5.8</v>
      </c>
      <c r="AB681" s="50"/>
      <c r="AC681" s="50"/>
      <c r="AD681" s="50"/>
      <c r="AE681" s="50"/>
      <c r="AF681" s="50"/>
      <c r="AG681" s="50"/>
      <c r="AH681" s="50"/>
      <c r="AI681" s="50"/>
      <c r="AJ681" s="50"/>
    </row>
    <row r="682" spans="1:36" ht="15" customHeight="1" x14ac:dyDescent="0.25">
      <c r="A682" s="50">
        <v>137</v>
      </c>
      <c r="B682" s="50" t="s">
        <v>926</v>
      </c>
      <c r="C682" s="50" t="s">
        <v>1357</v>
      </c>
      <c r="D682" s="50">
        <v>36</v>
      </c>
      <c r="E682" s="50" t="s">
        <v>1353</v>
      </c>
      <c r="F682" s="50">
        <v>0</v>
      </c>
      <c r="G682" s="50">
        <v>8</v>
      </c>
      <c r="H682" s="50">
        <v>50</v>
      </c>
      <c r="I682" s="50">
        <v>3.32</v>
      </c>
      <c r="J682" s="50">
        <v>102</v>
      </c>
      <c r="K682" s="50">
        <v>100</v>
      </c>
      <c r="L682" s="50">
        <v>6.22</v>
      </c>
      <c r="M682" s="50">
        <v>6.66</v>
      </c>
      <c r="N682" s="50">
        <v>33</v>
      </c>
      <c r="O682" s="50">
        <v>9.5</v>
      </c>
      <c r="P682" s="50">
        <v>15.6</v>
      </c>
      <c r="Q682" s="50">
        <v>48.9</v>
      </c>
      <c r="R682" s="50">
        <v>29.9</v>
      </c>
      <c r="S682" s="50">
        <v>19.100000000000001</v>
      </c>
      <c r="T682" s="50">
        <v>33</v>
      </c>
      <c r="U682" s="50">
        <v>5.26</v>
      </c>
      <c r="V682" s="50">
        <v>55.3</v>
      </c>
      <c r="W682" s="50">
        <v>57</v>
      </c>
      <c r="X682" s="50">
        <v>326</v>
      </c>
      <c r="Y682" s="50">
        <v>14.85</v>
      </c>
      <c r="Z682" s="50">
        <v>18.100000000000001</v>
      </c>
      <c r="AA682" s="50">
        <v>5.4</v>
      </c>
      <c r="AB682" s="50"/>
      <c r="AC682" s="50"/>
      <c r="AD682" s="50"/>
      <c r="AE682" s="50"/>
      <c r="AF682" s="50"/>
      <c r="AG682" s="50"/>
      <c r="AH682" s="50"/>
      <c r="AI682" s="50"/>
      <c r="AJ682" s="50"/>
    </row>
    <row r="683" spans="1:36" ht="15" customHeight="1" x14ac:dyDescent="0.25">
      <c r="A683" s="50">
        <v>137</v>
      </c>
      <c r="B683" s="50" t="s">
        <v>926</v>
      </c>
      <c r="C683" s="50" t="s">
        <v>1357</v>
      </c>
      <c r="D683" s="50">
        <v>36</v>
      </c>
      <c r="E683" s="50" t="s">
        <v>1353</v>
      </c>
      <c r="F683" s="50">
        <v>4</v>
      </c>
      <c r="G683" s="50">
        <v>7.7</v>
      </c>
      <c r="H683" s="50">
        <v>50</v>
      </c>
      <c r="I683" s="50">
        <v>3.26</v>
      </c>
      <c r="J683" s="50">
        <v>101</v>
      </c>
      <c r="K683" s="50">
        <v>97</v>
      </c>
      <c r="L683" s="50">
        <v>6.31</v>
      </c>
      <c r="M683" s="50">
        <v>6.45</v>
      </c>
      <c r="N683" s="50">
        <v>33</v>
      </c>
      <c r="O683" s="50">
        <v>9.1</v>
      </c>
      <c r="P683" s="50">
        <v>14.7</v>
      </c>
      <c r="Q683" s="50">
        <v>48.7</v>
      </c>
      <c r="R683" s="50">
        <v>29.9</v>
      </c>
      <c r="S683" s="50">
        <v>20.5</v>
      </c>
      <c r="T683" s="50">
        <v>35</v>
      </c>
      <c r="U683" s="50">
        <v>5.69</v>
      </c>
      <c r="V683" s="50">
        <v>55.9</v>
      </c>
      <c r="W683" s="50">
        <v>56</v>
      </c>
      <c r="X683" s="50">
        <v>313</v>
      </c>
      <c r="Y683" s="50">
        <v>14.61</v>
      </c>
      <c r="Z683" s="50">
        <v>19.100000000000001</v>
      </c>
      <c r="AA683" s="50">
        <v>5.19</v>
      </c>
      <c r="AB683" s="50"/>
      <c r="AC683" s="50"/>
      <c r="AD683" s="50"/>
      <c r="AE683" s="50"/>
      <c r="AF683" s="50"/>
      <c r="AG683" s="50"/>
      <c r="AH683" s="50"/>
      <c r="AI683" s="50"/>
      <c r="AJ683" s="50"/>
    </row>
    <row r="684" spans="1:36" ht="15" customHeight="1" x14ac:dyDescent="0.25">
      <c r="A684" s="50">
        <v>137</v>
      </c>
      <c r="B684" s="50" t="s">
        <v>926</v>
      </c>
      <c r="C684" s="50" t="s">
        <v>1357</v>
      </c>
      <c r="D684" s="50">
        <v>36</v>
      </c>
      <c r="E684" s="50" t="s">
        <v>1353</v>
      </c>
      <c r="F684" s="50">
        <v>8</v>
      </c>
      <c r="G684" s="50">
        <v>7.3</v>
      </c>
      <c r="H684" s="50">
        <v>49</v>
      </c>
      <c r="I684" s="50">
        <v>3.13</v>
      </c>
      <c r="J684" s="50">
        <v>102</v>
      </c>
      <c r="K684" s="50">
        <v>94</v>
      </c>
      <c r="L684" s="50">
        <v>5.8</v>
      </c>
      <c r="M684" s="50">
        <v>6.1</v>
      </c>
      <c r="N684" s="50">
        <v>30</v>
      </c>
      <c r="O684" s="50">
        <v>9.1999999999999993</v>
      </c>
      <c r="P684" s="50">
        <v>15.1</v>
      </c>
      <c r="Q684" s="50">
        <v>49.3</v>
      </c>
      <c r="R684" s="50">
        <v>33.4</v>
      </c>
      <c r="S684" s="50">
        <v>20.2</v>
      </c>
      <c r="T684" s="50">
        <v>37</v>
      </c>
      <c r="U684" s="50">
        <v>5.77</v>
      </c>
      <c r="V684" s="50">
        <v>56.6</v>
      </c>
      <c r="W684" s="50">
        <v>60</v>
      </c>
      <c r="X684" s="50">
        <v>342</v>
      </c>
      <c r="Y684" s="50">
        <v>14.39</v>
      </c>
      <c r="Z684" s="50">
        <v>21.1</v>
      </c>
      <c r="AA684" s="50">
        <v>5.39</v>
      </c>
      <c r="AB684" s="50"/>
      <c r="AC684" s="50"/>
      <c r="AD684" s="50"/>
      <c r="AE684" s="50"/>
      <c r="AF684" s="50"/>
      <c r="AG684" s="50"/>
      <c r="AH684" s="50"/>
      <c r="AI684" s="50"/>
      <c r="AJ684" s="50"/>
    </row>
    <row r="685" spans="1:36" ht="15" customHeight="1" x14ac:dyDescent="0.25">
      <c r="A685" s="50">
        <v>137</v>
      </c>
      <c r="B685" s="50" t="s">
        <v>926</v>
      </c>
      <c r="C685" s="50" t="s">
        <v>1357</v>
      </c>
      <c r="D685" s="50">
        <v>36</v>
      </c>
      <c r="E685" s="50" t="s">
        <v>1353</v>
      </c>
      <c r="F685" s="50">
        <v>12</v>
      </c>
      <c r="G685" s="50">
        <v>7.1</v>
      </c>
      <c r="H685" s="50">
        <v>48</v>
      </c>
      <c r="I685" s="50">
        <v>3.05</v>
      </c>
      <c r="J685" s="50">
        <v>103</v>
      </c>
      <c r="K685" s="50">
        <v>91</v>
      </c>
      <c r="L685" s="50">
        <v>5.83</v>
      </c>
      <c r="M685" s="50">
        <v>6.14</v>
      </c>
      <c r="N685" s="50">
        <v>32</v>
      </c>
      <c r="O685" s="50">
        <v>7.9</v>
      </c>
      <c r="P685" s="50">
        <v>14.1</v>
      </c>
      <c r="Q685" s="50">
        <v>44.7</v>
      </c>
      <c r="R685" s="50">
        <v>33.799999999999997</v>
      </c>
      <c r="S685" s="50">
        <v>24.9</v>
      </c>
      <c r="T685" s="50">
        <v>41</v>
      </c>
      <c r="U685" s="50">
        <v>5.51</v>
      </c>
      <c r="V685" s="50">
        <v>58.7</v>
      </c>
      <c r="W685" s="50">
        <v>60</v>
      </c>
      <c r="X685" s="50">
        <v>348</v>
      </c>
      <c r="Y685" s="50">
        <v>14.24</v>
      </c>
      <c r="Z685" s="50">
        <v>19.7</v>
      </c>
      <c r="AA685" s="50">
        <v>5.47</v>
      </c>
      <c r="AB685" s="50"/>
      <c r="AC685" s="50"/>
      <c r="AD685" s="50"/>
      <c r="AE685" s="50"/>
      <c r="AF685" s="50"/>
      <c r="AG685" s="50"/>
      <c r="AH685" s="50"/>
      <c r="AI685" s="50"/>
      <c r="AJ685" s="50"/>
    </row>
    <row r="686" spans="1:36" ht="15" customHeight="1" x14ac:dyDescent="0.25">
      <c r="A686" s="50">
        <v>137</v>
      </c>
      <c r="B686" s="50" t="s">
        <v>926</v>
      </c>
      <c r="C686" s="50" t="s">
        <v>1357</v>
      </c>
      <c r="D686" s="50">
        <v>36</v>
      </c>
      <c r="E686" s="50" t="s">
        <v>1353</v>
      </c>
      <c r="F686" s="50">
        <v>21</v>
      </c>
      <c r="G686" s="50">
        <v>6.1</v>
      </c>
      <c r="H686" s="50">
        <v>45</v>
      </c>
      <c r="I686" s="50">
        <v>2.86</v>
      </c>
      <c r="J686" s="50">
        <v>107</v>
      </c>
      <c r="K686" s="50">
        <v>85</v>
      </c>
      <c r="L686" s="50">
        <v>5.03</v>
      </c>
      <c r="M686" s="50">
        <v>4.9000000000000004</v>
      </c>
      <c r="N686" s="50">
        <v>28</v>
      </c>
      <c r="O686" s="50">
        <v>8.6</v>
      </c>
      <c r="P686" s="50">
        <v>13.2</v>
      </c>
      <c r="Q686" s="50">
        <v>40.799999999999997</v>
      </c>
      <c r="R686" s="50">
        <v>41</v>
      </c>
      <c r="S686" s="50">
        <v>26.7</v>
      </c>
      <c r="T686" s="50">
        <v>45</v>
      </c>
      <c r="U686" s="50">
        <v>6.59</v>
      </c>
      <c r="V686" s="50">
        <v>61</v>
      </c>
      <c r="W686" s="50">
        <v>62</v>
      </c>
      <c r="X686" s="50">
        <v>397</v>
      </c>
      <c r="Y686" s="50">
        <v>12.59</v>
      </c>
      <c r="Z686" s="50">
        <v>23.5</v>
      </c>
      <c r="AA686" s="50">
        <v>5.5</v>
      </c>
      <c r="AB686" s="50"/>
      <c r="AC686" s="50"/>
      <c r="AD686" s="50"/>
      <c r="AE686" s="50"/>
      <c r="AF686" s="50"/>
      <c r="AG686" s="50"/>
      <c r="AH686" s="50"/>
      <c r="AI686" s="50"/>
      <c r="AJ686" s="50"/>
    </row>
    <row r="687" spans="1:36" ht="15" customHeight="1" x14ac:dyDescent="0.25">
      <c r="A687" s="50">
        <v>138</v>
      </c>
      <c r="B687" s="50" t="s">
        <v>926</v>
      </c>
      <c r="C687" s="50" t="s">
        <v>1352</v>
      </c>
      <c r="D687" s="50">
        <v>46</v>
      </c>
      <c r="E687" s="50" t="s">
        <v>1353</v>
      </c>
      <c r="F687" s="50">
        <v>0</v>
      </c>
      <c r="G687" s="50">
        <v>7.6</v>
      </c>
      <c r="H687" s="50">
        <v>41</v>
      </c>
      <c r="I687" s="50">
        <v>3.54</v>
      </c>
      <c r="J687" s="50">
        <v>107</v>
      </c>
      <c r="K687" s="50">
        <v>100</v>
      </c>
      <c r="L687" s="50">
        <v>6.97</v>
      </c>
      <c r="M687" s="50">
        <v>6.38</v>
      </c>
      <c r="N687" s="50">
        <v>51</v>
      </c>
      <c r="O687" s="50">
        <v>12.5</v>
      </c>
      <c r="P687" s="50">
        <v>12.3</v>
      </c>
      <c r="Q687" s="50">
        <v>35.5</v>
      </c>
      <c r="R687" s="50">
        <v>33.200000000000003</v>
      </c>
      <c r="S687" s="50">
        <v>22.1</v>
      </c>
      <c r="T687" s="50">
        <v>31</v>
      </c>
      <c r="U687" s="50">
        <v>14.51</v>
      </c>
      <c r="V687" s="50">
        <v>54.8</v>
      </c>
      <c r="W687" s="50">
        <v>52</v>
      </c>
      <c r="X687" s="50">
        <v>294</v>
      </c>
      <c r="Y687" s="50">
        <v>18.72</v>
      </c>
      <c r="Z687" s="50">
        <v>30.8</v>
      </c>
      <c r="AA687" s="50">
        <v>5.18</v>
      </c>
      <c r="AB687" s="50"/>
      <c r="AC687" s="50"/>
      <c r="AD687" s="50"/>
      <c r="AE687" s="50"/>
      <c r="AF687" s="50"/>
      <c r="AG687" s="50"/>
      <c r="AH687" s="50"/>
      <c r="AI687" s="50"/>
      <c r="AJ687" s="50"/>
    </row>
    <row r="688" spans="1:36" ht="15" customHeight="1" x14ac:dyDescent="0.25">
      <c r="A688" s="50">
        <v>138</v>
      </c>
      <c r="B688" s="50" t="s">
        <v>926</v>
      </c>
      <c r="C688" s="50" t="s">
        <v>1352</v>
      </c>
      <c r="D688" s="50">
        <v>46</v>
      </c>
      <c r="E688" s="50" t="s">
        <v>1353</v>
      </c>
      <c r="F688" s="50">
        <v>4</v>
      </c>
      <c r="G688" s="50">
        <v>7.4</v>
      </c>
      <c r="H688" s="50">
        <v>39</v>
      </c>
      <c r="I688" s="50">
        <v>3.39</v>
      </c>
      <c r="J688" s="50">
        <v>114</v>
      </c>
      <c r="K688" s="50">
        <v>97</v>
      </c>
      <c r="L688" s="50">
        <v>6.82</v>
      </c>
      <c r="M688" s="50">
        <v>6.05</v>
      </c>
      <c r="N688" s="50">
        <v>50</v>
      </c>
      <c r="O688" s="50">
        <v>12.5</v>
      </c>
      <c r="P688" s="50">
        <v>12.3</v>
      </c>
      <c r="Q688" s="50">
        <v>35</v>
      </c>
      <c r="R688" s="50">
        <v>36.299999999999997</v>
      </c>
      <c r="S688" s="50">
        <v>24.5</v>
      </c>
      <c r="T688" s="50">
        <v>32</v>
      </c>
      <c r="U688" s="50">
        <v>13.29</v>
      </c>
      <c r="V688" s="50">
        <v>56.2</v>
      </c>
      <c r="W688" s="50">
        <v>49</v>
      </c>
      <c r="X688" s="50">
        <v>297</v>
      </c>
      <c r="Y688" s="50">
        <v>18.48</v>
      </c>
      <c r="Z688" s="50">
        <v>30.1</v>
      </c>
      <c r="AA688" s="50">
        <v>5.36</v>
      </c>
      <c r="AB688" s="50"/>
      <c r="AC688" s="50"/>
      <c r="AD688" s="50"/>
      <c r="AE688" s="50"/>
      <c r="AF688" s="50"/>
      <c r="AG688" s="50"/>
      <c r="AH688" s="50"/>
      <c r="AI688" s="50"/>
      <c r="AJ688" s="50"/>
    </row>
    <row r="689" spans="1:36" ht="15" customHeight="1" x14ac:dyDescent="0.25">
      <c r="A689" s="50">
        <v>138</v>
      </c>
      <c r="B689" s="50" t="s">
        <v>926</v>
      </c>
      <c r="C689" s="50" t="s">
        <v>1352</v>
      </c>
      <c r="D689" s="50">
        <v>46</v>
      </c>
      <c r="E689" s="50" t="s">
        <v>1353</v>
      </c>
      <c r="F689" s="50">
        <v>8</v>
      </c>
      <c r="G689" s="50">
        <v>6.8</v>
      </c>
      <c r="H689" s="50">
        <v>40</v>
      </c>
      <c r="I689" s="50">
        <v>3.29</v>
      </c>
      <c r="J689" s="50">
        <v>112</v>
      </c>
      <c r="K689" s="50">
        <v>94</v>
      </c>
      <c r="L689" s="50">
        <v>6.32</v>
      </c>
      <c r="M689" s="50">
        <v>5.57</v>
      </c>
      <c r="N689" s="50">
        <v>48</v>
      </c>
      <c r="O689" s="50">
        <v>11.5</v>
      </c>
      <c r="P689" s="50">
        <v>11.7</v>
      </c>
      <c r="Q689" s="50">
        <v>33.9</v>
      </c>
      <c r="R689" s="50">
        <v>40.799999999999997</v>
      </c>
      <c r="S689" s="50">
        <v>26.6</v>
      </c>
      <c r="T689" s="50">
        <v>35</v>
      </c>
      <c r="U689" s="50">
        <v>13.66</v>
      </c>
      <c r="V689" s="50">
        <v>57.1</v>
      </c>
      <c r="W689" s="50">
        <v>51</v>
      </c>
      <c r="X689" s="50">
        <v>339</v>
      </c>
      <c r="Y689" s="50">
        <v>17.420000000000002</v>
      </c>
      <c r="Z689" s="50">
        <v>30.7</v>
      </c>
      <c r="AA689" s="50">
        <v>5.34</v>
      </c>
      <c r="AB689" s="50"/>
      <c r="AC689" s="50"/>
      <c r="AD689" s="50"/>
      <c r="AE689" s="50"/>
      <c r="AF689" s="50"/>
      <c r="AG689" s="50"/>
      <c r="AH689" s="50"/>
      <c r="AI689" s="50"/>
      <c r="AJ689" s="50"/>
    </row>
    <row r="690" spans="1:36" ht="15" customHeight="1" x14ac:dyDescent="0.25">
      <c r="A690" s="50">
        <v>138</v>
      </c>
      <c r="B690" s="50" t="s">
        <v>926</v>
      </c>
      <c r="C690" s="50" t="s">
        <v>1352</v>
      </c>
      <c r="D690" s="50">
        <v>46</v>
      </c>
      <c r="E690" s="50" t="s">
        <v>1353</v>
      </c>
      <c r="F690" s="50">
        <v>12</v>
      </c>
      <c r="G690" s="50">
        <v>6.4</v>
      </c>
      <c r="H690" s="50">
        <v>38</v>
      </c>
      <c r="I690" s="50">
        <v>3.33</v>
      </c>
      <c r="J690" s="50">
        <v>116</v>
      </c>
      <c r="K690" s="50">
        <v>91</v>
      </c>
      <c r="L690" s="50">
        <v>6</v>
      </c>
      <c r="M690" s="50">
        <v>5.33</v>
      </c>
      <c r="N690" s="50">
        <v>48</v>
      </c>
      <c r="O690" s="50">
        <v>13.3</v>
      </c>
      <c r="P690" s="50">
        <v>11.3</v>
      </c>
      <c r="Q690" s="50">
        <v>32.200000000000003</v>
      </c>
      <c r="R690" s="50">
        <v>39.700000000000003</v>
      </c>
      <c r="S690" s="50">
        <v>26.9</v>
      </c>
      <c r="T690" s="50">
        <v>36</v>
      </c>
      <c r="U690" s="50">
        <v>13.03</v>
      </c>
      <c r="V690" s="50">
        <v>59.7</v>
      </c>
      <c r="W690" s="50">
        <v>54</v>
      </c>
      <c r="X690" s="50">
        <v>345</v>
      </c>
      <c r="Y690" s="50">
        <v>17.89</v>
      </c>
      <c r="Z690" s="50">
        <v>32</v>
      </c>
      <c r="AA690" s="50">
        <v>5.53</v>
      </c>
      <c r="AB690" s="50"/>
      <c r="AC690" s="50"/>
      <c r="AD690" s="50"/>
      <c r="AE690" s="50"/>
      <c r="AF690" s="50"/>
      <c r="AG690" s="50"/>
      <c r="AH690" s="50"/>
      <c r="AI690" s="50"/>
      <c r="AJ690" s="50"/>
    </row>
    <row r="691" spans="1:36" ht="15" customHeight="1" x14ac:dyDescent="0.25">
      <c r="A691" s="50">
        <v>138</v>
      </c>
      <c r="B691" s="50" t="s">
        <v>926</v>
      </c>
      <c r="C691" s="50" t="s">
        <v>1352</v>
      </c>
      <c r="D691" s="50">
        <v>46</v>
      </c>
      <c r="E691" s="50" t="s">
        <v>1353</v>
      </c>
      <c r="F691" s="50">
        <v>21</v>
      </c>
      <c r="G691" s="50">
        <v>5.7</v>
      </c>
      <c r="H691" s="50">
        <v>38</v>
      </c>
      <c r="I691" s="50">
        <v>3.13</v>
      </c>
      <c r="J691" s="50">
        <v>120</v>
      </c>
      <c r="K691" s="50">
        <v>85</v>
      </c>
      <c r="L691" s="50">
        <v>5.59</v>
      </c>
      <c r="M691" s="50">
        <v>4.8600000000000003</v>
      </c>
      <c r="N691" s="50">
        <v>43</v>
      </c>
      <c r="O691" s="50">
        <v>10.8</v>
      </c>
      <c r="P691" s="50">
        <v>11.2</v>
      </c>
      <c r="Q691" s="50">
        <v>31.3</v>
      </c>
      <c r="R691" s="50">
        <v>42.3</v>
      </c>
      <c r="S691" s="50">
        <v>30</v>
      </c>
      <c r="T691" s="50">
        <v>42</v>
      </c>
      <c r="U691" s="50">
        <v>11.68</v>
      </c>
      <c r="V691" s="50">
        <v>62.5</v>
      </c>
      <c r="W691" s="50">
        <v>59</v>
      </c>
      <c r="X691" s="50">
        <v>359</v>
      </c>
      <c r="Y691" s="50">
        <v>15.93</v>
      </c>
      <c r="Z691" s="50">
        <v>35.5</v>
      </c>
      <c r="AA691" s="50">
        <v>5.85</v>
      </c>
      <c r="AB691" s="50"/>
      <c r="AC691" s="50"/>
      <c r="AD691" s="50"/>
      <c r="AE691" s="50"/>
      <c r="AF691" s="50"/>
      <c r="AG691" s="50"/>
      <c r="AH691" s="50"/>
      <c r="AI691" s="50"/>
      <c r="AJ691" s="50"/>
    </row>
    <row r="692" spans="1:36" ht="15" customHeight="1" x14ac:dyDescent="0.25">
      <c r="A692" s="50">
        <v>139</v>
      </c>
      <c r="B692" s="50" t="s">
        <v>926</v>
      </c>
      <c r="C692" s="50" t="s">
        <v>1352</v>
      </c>
      <c r="D692" s="50">
        <v>30</v>
      </c>
      <c r="E692" s="50" t="s">
        <v>1360</v>
      </c>
      <c r="F692" s="50">
        <v>0</v>
      </c>
      <c r="G692" s="50">
        <v>7.2</v>
      </c>
      <c r="H692" s="50">
        <v>37</v>
      </c>
      <c r="I692" s="50">
        <v>4.05</v>
      </c>
      <c r="J692" s="50">
        <v>76</v>
      </c>
      <c r="K692" s="50">
        <v>100</v>
      </c>
      <c r="L692" s="50">
        <v>7.19</v>
      </c>
      <c r="M692" s="50">
        <v>6.61</v>
      </c>
      <c r="N692" s="50">
        <v>50</v>
      </c>
      <c r="O692" s="50">
        <v>13.4</v>
      </c>
      <c r="P692" s="50">
        <v>11.4</v>
      </c>
      <c r="Q692" s="50">
        <v>54.7</v>
      </c>
      <c r="R692" s="50">
        <v>33.9</v>
      </c>
      <c r="S692" s="50">
        <v>17.7</v>
      </c>
      <c r="T692" s="50">
        <v>36</v>
      </c>
      <c r="U692" s="50">
        <v>9.31</v>
      </c>
      <c r="V692" s="50">
        <v>54.8</v>
      </c>
      <c r="W692" s="50">
        <v>72</v>
      </c>
      <c r="X692" s="50">
        <v>396</v>
      </c>
      <c r="Y692" s="50">
        <v>13.97</v>
      </c>
      <c r="Z692" s="50">
        <v>21.4</v>
      </c>
      <c r="AA692" s="50">
        <v>5.28</v>
      </c>
      <c r="AB692" s="50"/>
      <c r="AC692" s="50"/>
      <c r="AD692" s="50"/>
      <c r="AE692" s="50"/>
      <c r="AF692" s="50"/>
      <c r="AG692" s="50"/>
      <c r="AH692" s="50"/>
      <c r="AI692" s="50"/>
      <c r="AJ692" s="50"/>
    </row>
    <row r="693" spans="1:36" ht="15" customHeight="1" x14ac:dyDescent="0.25">
      <c r="A693" s="50">
        <v>139</v>
      </c>
      <c r="B693" s="50" t="s">
        <v>926</v>
      </c>
      <c r="C693" s="50" t="s">
        <v>1352</v>
      </c>
      <c r="D693" s="50">
        <v>30</v>
      </c>
      <c r="E693" s="50" t="s">
        <v>1360</v>
      </c>
      <c r="F693" s="50">
        <v>4</v>
      </c>
      <c r="G693" s="50">
        <v>7.1</v>
      </c>
      <c r="H693" s="50">
        <v>33</v>
      </c>
      <c r="I693" s="50">
        <v>3.85</v>
      </c>
      <c r="J693" s="50">
        <v>77</v>
      </c>
      <c r="K693" s="50">
        <v>97</v>
      </c>
      <c r="L693" s="50">
        <v>6.99</v>
      </c>
      <c r="M693" s="50">
        <v>6.79</v>
      </c>
      <c r="N693" s="50">
        <v>51</v>
      </c>
      <c r="O693" s="50">
        <v>12.9</v>
      </c>
      <c r="P693" s="50">
        <v>10.6</v>
      </c>
      <c r="Q693" s="50">
        <v>53.3</v>
      </c>
      <c r="R693" s="50">
        <v>35.700000000000003</v>
      </c>
      <c r="S693" s="50">
        <v>19.7</v>
      </c>
      <c r="T693" s="50">
        <v>34</v>
      </c>
      <c r="U693" s="50">
        <v>8.9</v>
      </c>
      <c r="V693" s="50">
        <v>54.3</v>
      </c>
      <c r="W693" s="50">
        <v>71</v>
      </c>
      <c r="X693" s="50">
        <v>389</v>
      </c>
      <c r="Y693" s="50">
        <v>13.64</v>
      </c>
      <c r="Z693" s="50">
        <v>23.2</v>
      </c>
      <c r="AA693" s="50">
        <v>4.9800000000000004</v>
      </c>
      <c r="AB693" s="50"/>
      <c r="AC693" s="50"/>
      <c r="AD693" s="50"/>
      <c r="AE693" s="50"/>
      <c r="AF693" s="50"/>
      <c r="AG693" s="50"/>
      <c r="AH693" s="50"/>
      <c r="AI693" s="50"/>
      <c r="AJ693" s="50"/>
    </row>
    <row r="694" spans="1:36" ht="15" customHeight="1" x14ac:dyDescent="0.25">
      <c r="A694" s="50">
        <v>139</v>
      </c>
      <c r="B694" s="50" t="s">
        <v>926</v>
      </c>
      <c r="C694" s="50" t="s">
        <v>1352</v>
      </c>
      <c r="D694" s="50">
        <v>30</v>
      </c>
      <c r="E694" s="50" t="s">
        <v>1360</v>
      </c>
      <c r="F694" s="50">
        <v>8</v>
      </c>
      <c r="G694" s="50">
        <v>6.5</v>
      </c>
      <c r="H694" s="50">
        <v>33</v>
      </c>
      <c r="I694" s="50">
        <v>3.83</v>
      </c>
      <c r="J694" s="50">
        <v>83</v>
      </c>
      <c r="K694" s="50">
        <v>94</v>
      </c>
      <c r="L694" s="50">
        <v>6.16</v>
      </c>
      <c r="M694" s="50">
        <v>6.36</v>
      </c>
      <c r="N694" s="50">
        <v>48</v>
      </c>
      <c r="O694" s="50">
        <v>12.6</v>
      </c>
      <c r="P694" s="50">
        <v>10.7</v>
      </c>
      <c r="Q694" s="50">
        <v>52.2</v>
      </c>
      <c r="R694" s="50">
        <v>38</v>
      </c>
      <c r="S694" s="50">
        <v>20.3</v>
      </c>
      <c r="T694" s="50">
        <v>39</v>
      </c>
      <c r="U694" s="50">
        <v>9.2100000000000009</v>
      </c>
      <c r="V694" s="50">
        <v>56.1</v>
      </c>
      <c r="W694" s="50">
        <v>69</v>
      </c>
      <c r="X694" s="50">
        <v>403</v>
      </c>
      <c r="Y694" s="50">
        <v>12.85</v>
      </c>
      <c r="Z694" s="50">
        <v>24.1</v>
      </c>
      <c r="AA694" s="50">
        <v>5.25</v>
      </c>
      <c r="AB694" s="50"/>
      <c r="AC694" s="50"/>
      <c r="AD694" s="50"/>
      <c r="AE694" s="50"/>
      <c r="AF694" s="50"/>
      <c r="AG694" s="50"/>
      <c r="AH694" s="50"/>
      <c r="AI694" s="50"/>
      <c r="AJ694" s="50"/>
    </row>
    <row r="695" spans="1:36" ht="15" customHeight="1" x14ac:dyDescent="0.25">
      <c r="A695" s="50">
        <v>139</v>
      </c>
      <c r="B695" s="50" t="s">
        <v>926</v>
      </c>
      <c r="C695" s="50" t="s">
        <v>1352</v>
      </c>
      <c r="D695" s="50">
        <v>30</v>
      </c>
      <c r="E695" s="50" t="s">
        <v>1360</v>
      </c>
      <c r="F695" s="50">
        <v>12</v>
      </c>
      <c r="G695" s="50">
        <v>6.4</v>
      </c>
      <c r="H695" s="50">
        <v>31</v>
      </c>
      <c r="I695" s="50">
        <v>3.67</v>
      </c>
      <c r="J695" s="50">
        <v>80</v>
      </c>
      <c r="K695" s="50">
        <v>91</v>
      </c>
      <c r="L695" s="50">
        <v>6.23</v>
      </c>
      <c r="M695" s="50">
        <v>6.25</v>
      </c>
      <c r="N695" s="50">
        <v>48</v>
      </c>
      <c r="O695" s="50">
        <v>12.1</v>
      </c>
      <c r="P695" s="50">
        <v>10.1</v>
      </c>
      <c r="Q695" s="50">
        <v>50.4</v>
      </c>
      <c r="R695" s="50">
        <v>37.5</v>
      </c>
      <c r="S695" s="50">
        <v>20.100000000000001</v>
      </c>
      <c r="T695" s="50">
        <v>36</v>
      </c>
      <c r="U695" s="50">
        <v>7.84</v>
      </c>
      <c r="V695" s="50">
        <v>58.7</v>
      </c>
      <c r="W695" s="50">
        <v>70</v>
      </c>
      <c r="X695" s="50">
        <v>414</v>
      </c>
      <c r="Y695" s="50">
        <v>13.4</v>
      </c>
      <c r="Z695" s="50">
        <v>24.5</v>
      </c>
      <c r="AA695" s="50">
        <v>5.3</v>
      </c>
      <c r="AB695" s="50"/>
      <c r="AC695" s="50"/>
      <c r="AD695" s="50"/>
      <c r="AE695" s="50"/>
      <c r="AF695" s="50"/>
      <c r="AG695" s="50"/>
      <c r="AH695" s="50"/>
      <c r="AI695" s="50"/>
      <c r="AJ695" s="50"/>
    </row>
    <row r="696" spans="1:36" ht="15" customHeight="1" x14ac:dyDescent="0.25">
      <c r="A696" s="50">
        <v>139</v>
      </c>
      <c r="B696" s="50" t="s">
        <v>926</v>
      </c>
      <c r="C696" s="50" t="s">
        <v>1352</v>
      </c>
      <c r="D696" s="50">
        <v>30</v>
      </c>
      <c r="E696" s="50" t="s">
        <v>1360</v>
      </c>
      <c r="F696" s="50">
        <v>21</v>
      </c>
      <c r="G696" s="50">
        <v>5.3</v>
      </c>
      <c r="H696" s="50">
        <v>29</v>
      </c>
      <c r="I696" s="50">
        <v>3.52</v>
      </c>
      <c r="J696" s="50">
        <v>86</v>
      </c>
      <c r="K696" s="50">
        <v>85</v>
      </c>
      <c r="L696" s="50">
        <v>5.27</v>
      </c>
      <c r="M696" s="50">
        <v>5.5</v>
      </c>
      <c r="N696" s="50">
        <v>48</v>
      </c>
      <c r="O696" s="50">
        <v>10.4</v>
      </c>
      <c r="P696" s="50">
        <v>10.5</v>
      </c>
      <c r="Q696" s="50">
        <v>44.9</v>
      </c>
      <c r="R696" s="50">
        <v>46.4</v>
      </c>
      <c r="S696" s="50">
        <v>25.7</v>
      </c>
      <c r="T696" s="50">
        <v>44</v>
      </c>
      <c r="U696" s="50">
        <v>7.49</v>
      </c>
      <c r="V696" s="50">
        <v>60.7</v>
      </c>
      <c r="W696" s="50">
        <v>78</v>
      </c>
      <c r="X696" s="50">
        <v>459</v>
      </c>
      <c r="Y696" s="50">
        <v>12.73</v>
      </c>
      <c r="Z696" s="50">
        <v>30.7</v>
      </c>
      <c r="AA696" s="50">
        <v>5.84</v>
      </c>
      <c r="AB696" s="50"/>
      <c r="AC696" s="50"/>
      <c r="AD696" s="50"/>
      <c r="AE696" s="50"/>
      <c r="AF696" s="50"/>
      <c r="AG696" s="50"/>
      <c r="AH696" s="50"/>
      <c r="AI696" s="50"/>
      <c r="AJ696" s="50"/>
    </row>
    <row r="697" spans="1:36" ht="15" customHeight="1" x14ac:dyDescent="0.25">
      <c r="A697" s="50">
        <v>140</v>
      </c>
      <c r="B697" s="50" t="s">
        <v>926</v>
      </c>
      <c r="C697" s="50" t="s">
        <v>1357</v>
      </c>
      <c r="D697" s="50">
        <v>36</v>
      </c>
      <c r="E697" s="50" t="s">
        <v>1360</v>
      </c>
      <c r="F697" s="50">
        <v>0</v>
      </c>
      <c r="G697" s="50">
        <v>6.7</v>
      </c>
      <c r="H697" s="50">
        <v>52</v>
      </c>
      <c r="I697" s="50">
        <v>3.7</v>
      </c>
      <c r="J697" s="50">
        <v>102</v>
      </c>
      <c r="K697" s="50">
        <v>100</v>
      </c>
      <c r="L697" s="50">
        <v>6.14</v>
      </c>
      <c r="M697" s="50">
        <v>5.63</v>
      </c>
      <c r="N697" s="50">
        <v>38</v>
      </c>
      <c r="O697" s="50">
        <v>13</v>
      </c>
      <c r="P697" s="50">
        <v>11.4</v>
      </c>
      <c r="Q697" s="50">
        <v>34.799999999999997</v>
      </c>
      <c r="R697" s="50">
        <v>45.2</v>
      </c>
      <c r="S697" s="50">
        <v>26.5</v>
      </c>
      <c r="T697" s="50">
        <v>41</v>
      </c>
      <c r="U697" s="50">
        <v>12.97</v>
      </c>
      <c r="V697" s="50">
        <v>53.8</v>
      </c>
      <c r="W697" s="50">
        <v>33</v>
      </c>
      <c r="X697" s="50">
        <v>283</v>
      </c>
      <c r="Y697" s="50">
        <v>18.04</v>
      </c>
      <c r="Z697" s="50">
        <v>23.9</v>
      </c>
      <c r="AA697" s="50">
        <v>4.18</v>
      </c>
      <c r="AB697" s="50"/>
      <c r="AC697" s="50"/>
      <c r="AD697" s="50"/>
      <c r="AE697" s="50"/>
      <c r="AF697" s="50"/>
      <c r="AG697" s="50"/>
      <c r="AH697" s="50"/>
      <c r="AI697" s="50"/>
      <c r="AJ697" s="50"/>
    </row>
    <row r="698" spans="1:36" ht="15" customHeight="1" x14ac:dyDescent="0.25">
      <c r="A698" s="50">
        <v>140</v>
      </c>
      <c r="B698" s="50" t="s">
        <v>926</v>
      </c>
      <c r="C698" s="50" t="s">
        <v>1357</v>
      </c>
      <c r="D698" s="50">
        <v>36</v>
      </c>
      <c r="E698" s="50" t="s">
        <v>1360</v>
      </c>
      <c r="F698" s="50">
        <v>4</v>
      </c>
      <c r="G698" s="50">
        <v>6.4</v>
      </c>
      <c r="H698" s="50">
        <v>51</v>
      </c>
      <c r="I698" s="50">
        <v>3.55</v>
      </c>
      <c r="J698" s="50">
        <v>103</v>
      </c>
      <c r="K698" s="50">
        <v>97</v>
      </c>
      <c r="L698" s="50">
        <v>5.98</v>
      </c>
      <c r="M698" s="50">
        <v>5.65</v>
      </c>
      <c r="N698" s="50">
        <v>37</v>
      </c>
      <c r="O698" s="50">
        <v>13</v>
      </c>
      <c r="P698" s="50">
        <v>11.3</v>
      </c>
      <c r="Q698" s="50">
        <v>32.299999999999997</v>
      </c>
      <c r="R698" s="50">
        <v>46.7</v>
      </c>
      <c r="S698" s="50">
        <v>27.6</v>
      </c>
      <c r="T698" s="50">
        <v>41</v>
      </c>
      <c r="U698" s="50">
        <v>11.75</v>
      </c>
      <c r="V698" s="50">
        <v>55.6</v>
      </c>
      <c r="W698" s="50">
        <v>35</v>
      </c>
      <c r="X698" s="50">
        <v>293</v>
      </c>
      <c r="Y698" s="50">
        <v>17.12</v>
      </c>
      <c r="Z698" s="50">
        <v>24</v>
      </c>
      <c r="AA698" s="50">
        <v>4.28</v>
      </c>
      <c r="AB698" s="50"/>
      <c r="AC698" s="50"/>
      <c r="AD698" s="50"/>
      <c r="AE698" s="50"/>
      <c r="AF698" s="50"/>
      <c r="AG698" s="50"/>
      <c r="AH698" s="50"/>
      <c r="AI698" s="50"/>
      <c r="AJ698" s="50"/>
    </row>
    <row r="699" spans="1:36" ht="15" customHeight="1" x14ac:dyDescent="0.25">
      <c r="A699" s="50">
        <v>140</v>
      </c>
      <c r="B699" s="50" t="s">
        <v>926</v>
      </c>
      <c r="C699" s="50" t="s">
        <v>1357</v>
      </c>
      <c r="D699" s="50">
        <v>36</v>
      </c>
      <c r="E699" s="50" t="s">
        <v>1360</v>
      </c>
      <c r="F699" s="50">
        <v>8</v>
      </c>
      <c r="G699" s="50">
        <v>6</v>
      </c>
      <c r="H699" s="50">
        <v>49</v>
      </c>
      <c r="I699" s="50">
        <v>3.51</v>
      </c>
      <c r="J699" s="50">
        <v>105</v>
      </c>
      <c r="K699" s="50">
        <v>94</v>
      </c>
      <c r="L699" s="50">
        <v>5.79</v>
      </c>
      <c r="M699" s="50">
        <v>5.13</v>
      </c>
      <c r="N699" s="50">
        <v>38</v>
      </c>
      <c r="O699" s="50">
        <v>12.3</v>
      </c>
      <c r="P699" s="50">
        <v>11.2</v>
      </c>
      <c r="Q699" s="50">
        <v>33</v>
      </c>
      <c r="R699" s="50">
        <v>47.6</v>
      </c>
      <c r="S699" s="50">
        <v>28</v>
      </c>
      <c r="T699" s="50">
        <v>41</v>
      </c>
      <c r="U699" s="50">
        <v>12.25</v>
      </c>
      <c r="V699" s="50">
        <v>55.5</v>
      </c>
      <c r="W699" s="50">
        <v>41</v>
      </c>
      <c r="X699" s="50">
        <v>309</v>
      </c>
      <c r="Y699" s="50">
        <v>16.34</v>
      </c>
      <c r="Z699" s="50">
        <v>25.7</v>
      </c>
      <c r="AA699" s="50">
        <v>4.53</v>
      </c>
      <c r="AB699" s="50"/>
      <c r="AC699" s="50"/>
      <c r="AD699" s="50"/>
      <c r="AE699" s="50"/>
      <c r="AF699" s="50"/>
      <c r="AG699" s="50"/>
      <c r="AH699" s="50"/>
      <c r="AI699" s="50"/>
      <c r="AJ699" s="50"/>
    </row>
    <row r="700" spans="1:36" ht="15" customHeight="1" x14ac:dyDescent="0.25">
      <c r="A700" s="50">
        <v>140</v>
      </c>
      <c r="B700" s="50" t="s">
        <v>926</v>
      </c>
      <c r="C700" s="50" t="s">
        <v>1357</v>
      </c>
      <c r="D700" s="50">
        <v>36</v>
      </c>
      <c r="E700" s="50" t="s">
        <v>1360</v>
      </c>
      <c r="F700" s="50">
        <v>12</v>
      </c>
      <c r="G700" s="50">
        <v>5.9</v>
      </c>
      <c r="H700" s="50">
        <v>49</v>
      </c>
      <c r="I700" s="50">
        <v>3.41</v>
      </c>
      <c r="J700" s="50">
        <v>108</v>
      </c>
      <c r="K700" s="50">
        <v>91</v>
      </c>
      <c r="L700" s="50">
        <v>5.56</v>
      </c>
      <c r="M700" s="50">
        <v>5.0999999999999996</v>
      </c>
      <c r="N700" s="50">
        <v>37</v>
      </c>
      <c r="O700" s="50">
        <v>12.2</v>
      </c>
      <c r="P700" s="50">
        <v>10.5</v>
      </c>
      <c r="Q700" s="50">
        <v>33.5</v>
      </c>
      <c r="R700" s="50">
        <v>50.5</v>
      </c>
      <c r="S700" s="50">
        <v>30.6</v>
      </c>
      <c r="T700" s="50">
        <v>44</v>
      </c>
      <c r="U700" s="50">
        <v>10.4</v>
      </c>
      <c r="V700" s="50">
        <v>55.4</v>
      </c>
      <c r="W700" s="50">
        <v>41</v>
      </c>
      <c r="X700" s="50">
        <v>307</v>
      </c>
      <c r="Y700" s="50">
        <v>15.73</v>
      </c>
      <c r="Z700" s="50">
        <v>26.7</v>
      </c>
      <c r="AA700" s="50">
        <v>4.3099999999999996</v>
      </c>
      <c r="AB700" s="50"/>
      <c r="AC700" s="50"/>
      <c r="AD700" s="50"/>
      <c r="AE700" s="50"/>
      <c r="AF700" s="50"/>
      <c r="AG700" s="50"/>
      <c r="AH700" s="50"/>
      <c r="AI700" s="50"/>
      <c r="AJ700" s="50"/>
    </row>
    <row r="701" spans="1:36" ht="15" customHeight="1" x14ac:dyDescent="0.25">
      <c r="A701" s="50">
        <v>140</v>
      </c>
      <c r="B701" s="50" t="s">
        <v>926</v>
      </c>
      <c r="C701" s="50" t="s">
        <v>1357</v>
      </c>
      <c r="D701" s="50">
        <v>36</v>
      </c>
      <c r="E701" s="50" t="s">
        <v>1360</v>
      </c>
      <c r="F701" s="50">
        <v>21</v>
      </c>
      <c r="G701" s="50">
        <v>5.0999999999999996</v>
      </c>
      <c r="H701" s="50">
        <v>46</v>
      </c>
      <c r="I701" s="50">
        <v>3.16</v>
      </c>
      <c r="J701" s="50">
        <v>112</v>
      </c>
      <c r="K701" s="50">
        <v>85</v>
      </c>
      <c r="L701" s="50">
        <v>4.83</v>
      </c>
      <c r="M701" s="50">
        <v>4.58</v>
      </c>
      <c r="N701" s="50">
        <v>33</v>
      </c>
      <c r="O701" s="50">
        <v>12.1</v>
      </c>
      <c r="P701" s="50">
        <v>9.1</v>
      </c>
      <c r="Q701" s="50">
        <v>34.299999999999997</v>
      </c>
      <c r="R701" s="50">
        <v>51.3</v>
      </c>
      <c r="S701" s="50">
        <v>34</v>
      </c>
      <c r="T701" s="50">
        <v>47</v>
      </c>
      <c r="U701" s="50">
        <v>10.39</v>
      </c>
      <c r="V701" s="50">
        <v>58.5</v>
      </c>
      <c r="W701" s="50">
        <v>41</v>
      </c>
      <c r="X701" s="50">
        <v>346</v>
      </c>
      <c r="Y701" s="50">
        <v>14.82</v>
      </c>
      <c r="Z701" s="50">
        <v>26.7</v>
      </c>
      <c r="AA701" s="50">
        <v>4.7300000000000004</v>
      </c>
      <c r="AB701" s="50"/>
      <c r="AC701" s="50"/>
      <c r="AD701" s="50"/>
      <c r="AE701" s="50"/>
      <c r="AF701" s="50"/>
      <c r="AG701" s="50"/>
      <c r="AH701" s="50"/>
      <c r="AI701" s="50"/>
      <c r="AJ701" s="50"/>
    </row>
    <row r="702" spans="1:36" ht="15" customHeight="1" x14ac:dyDescent="0.25">
      <c r="A702" s="50">
        <v>141</v>
      </c>
      <c r="B702" s="50" t="s">
        <v>926</v>
      </c>
      <c r="C702" s="50" t="s">
        <v>1352</v>
      </c>
      <c r="D702" s="50">
        <v>58</v>
      </c>
      <c r="E702" s="50" t="s">
        <v>1355</v>
      </c>
      <c r="F702" s="50">
        <v>0</v>
      </c>
      <c r="G702" s="50">
        <v>6.9</v>
      </c>
      <c r="H702" s="50">
        <v>40</v>
      </c>
      <c r="I702" s="50">
        <v>2.94</v>
      </c>
      <c r="J702" s="50">
        <v>97</v>
      </c>
      <c r="K702" s="50">
        <v>100</v>
      </c>
      <c r="L702" s="50">
        <v>6.46</v>
      </c>
      <c r="M702" s="50">
        <v>6.2</v>
      </c>
      <c r="N702" s="50">
        <v>63</v>
      </c>
      <c r="O702" s="50">
        <v>12.6</v>
      </c>
      <c r="P702" s="50">
        <v>11.9</v>
      </c>
      <c r="Q702" s="50">
        <v>53.2</v>
      </c>
      <c r="R702" s="50">
        <v>38.1</v>
      </c>
      <c r="S702" s="50">
        <v>17.600000000000001</v>
      </c>
      <c r="T702" s="50">
        <v>45</v>
      </c>
      <c r="U702" s="50">
        <v>12.27</v>
      </c>
      <c r="V702" s="50">
        <v>60.2</v>
      </c>
      <c r="W702" s="50">
        <v>67</v>
      </c>
      <c r="X702" s="50">
        <v>320</v>
      </c>
      <c r="Y702" s="50">
        <v>12.7</v>
      </c>
      <c r="Z702" s="50">
        <v>26.5</v>
      </c>
      <c r="AA702" s="50">
        <v>5.79</v>
      </c>
      <c r="AB702" s="50"/>
      <c r="AC702" s="50"/>
      <c r="AD702" s="50"/>
      <c r="AE702" s="50"/>
      <c r="AF702" s="50"/>
      <c r="AG702" s="50"/>
      <c r="AH702" s="50"/>
      <c r="AI702" s="50"/>
      <c r="AJ702" s="50"/>
    </row>
    <row r="703" spans="1:36" ht="15" customHeight="1" x14ac:dyDescent="0.25">
      <c r="A703" s="50">
        <v>141</v>
      </c>
      <c r="B703" s="50" t="s">
        <v>926</v>
      </c>
      <c r="C703" s="50" t="s">
        <v>1352</v>
      </c>
      <c r="D703" s="50">
        <v>58</v>
      </c>
      <c r="E703" s="50" t="s">
        <v>1355</v>
      </c>
      <c r="F703" s="50">
        <v>4</v>
      </c>
      <c r="G703" s="50">
        <v>6.7</v>
      </c>
      <c r="H703" s="50">
        <v>40</v>
      </c>
      <c r="I703" s="50">
        <v>2.91</v>
      </c>
      <c r="J703" s="50">
        <v>100</v>
      </c>
      <c r="K703" s="50">
        <v>97</v>
      </c>
      <c r="L703" s="50">
        <v>6.1</v>
      </c>
      <c r="M703" s="50">
        <v>6.26</v>
      </c>
      <c r="N703" s="50">
        <v>63</v>
      </c>
      <c r="O703" s="50">
        <v>12.1</v>
      </c>
      <c r="P703" s="50">
        <v>10.9</v>
      </c>
      <c r="Q703" s="50">
        <v>49.2</v>
      </c>
      <c r="R703" s="50">
        <v>38.700000000000003</v>
      </c>
      <c r="S703" s="50">
        <v>18.899999999999999</v>
      </c>
      <c r="T703" s="50">
        <v>44</v>
      </c>
      <c r="U703" s="50">
        <v>10.57</v>
      </c>
      <c r="V703" s="50">
        <v>58.9</v>
      </c>
      <c r="W703" s="50">
        <v>70</v>
      </c>
      <c r="X703" s="50">
        <v>322</v>
      </c>
      <c r="Y703" s="50">
        <v>12.4</v>
      </c>
      <c r="Z703" s="50">
        <v>27.6</v>
      </c>
      <c r="AA703" s="50">
        <v>5.68</v>
      </c>
      <c r="AB703" s="50"/>
      <c r="AC703" s="50"/>
      <c r="AD703" s="50"/>
      <c r="AE703" s="50"/>
      <c r="AF703" s="50"/>
      <c r="AG703" s="50"/>
      <c r="AH703" s="50"/>
      <c r="AI703" s="50"/>
      <c r="AJ703" s="50"/>
    </row>
    <row r="704" spans="1:36" ht="15" customHeight="1" x14ac:dyDescent="0.25">
      <c r="A704" s="50">
        <v>141</v>
      </c>
      <c r="B704" s="50" t="s">
        <v>926</v>
      </c>
      <c r="C704" s="50" t="s">
        <v>1352</v>
      </c>
      <c r="D704" s="50">
        <v>58</v>
      </c>
      <c r="E704" s="50" t="s">
        <v>1355</v>
      </c>
      <c r="F704" s="50">
        <v>8</v>
      </c>
      <c r="G704" s="50">
        <v>6.2</v>
      </c>
      <c r="H704" s="50">
        <v>38</v>
      </c>
      <c r="I704" s="50">
        <v>2.77</v>
      </c>
      <c r="J704" s="50">
        <v>105</v>
      </c>
      <c r="K704" s="50">
        <v>94</v>
      </c>
      <c r="L704" s="50">
        <v>5.82</v>
      </c>
      <c r="M704" s="50">
        <v>5.7</v>
      </c>
      <c r="N704" s="50">
        <v>62</v>
      </c>
      <c r="O704" s="50">
        <v>12</v>
      </c>
      <c r="P704" s="50">
        <v>10.8</v>
      </c>
      <c r="Q704" s="50">
        <v>48.8</v>
      </c>
      <c r="R704" s="50">
        <v>42.7</v>
      </c>
      <c r="S704" s="50">
        <v>19.5</v>
      </c>
      <c r="T704" s="50">
        <v>45</v>
      </c>
      <c r="U704" s="50">
        <v>10.44</v>
      </c>
      <c r="V704" s="50">
        <v>59.5</v>
      </c>
      <c r="W704" s="50">
        <v>71</v>
      </c>
      <c r="X704" s="50">
        <v>355</v>
      </c>
      <c r="Y704" s="50">
        <v>12.38</v>
      </c>
      <c r="Z704" s="50">
        <v>28.9</v>
      </c>
      <c r="AA704" s="50">
        <v>5.98</v>
      </c>
      <c r="AB704" s="50"/>
      <c r="AC704" s="50"/>
      <c r="AD704" s="50"/>
      <c r="AE704" s="50"/>
      <c r="AF704" s="50"/>
      <c r="AG704" s="50"/>
      <c r="AH704" s="50"/>
      <c r="AI704" s="50"/>
      <c r="AJ704" s="50"/>
    </row>
    <row r="705" spans="1:36" ht="15" customHeight="1" x14ac:dyDescent="0.25">
      <c r="A705" s="50">
        <v>141</v>
      </c>
      <c r="B705" s="50" t="s">
        <v>926</v>
      </c>
      <c r="C705" s="50" t="s">
        <v>1352</v>
      </c>
      <c r="D705" s="50">
        <v>58</v>
      </c>
      <c r="E705" s="50" t="s">
        <v>1355</v>
      </c>
      <c r="F705" s="50">
        <v>12</v>
      </c>
      <c r="G705" s="50">
        <v>6.1</v>
      </c>
      <c r="H705" s="50">
        <v>38</v>
      </c>
      <c r="I705" s="50">
        <v>2.69</v>
      </c>
      <c r="J705" s="50">
        <v>105</v>
      </c>
      <c r="K705" s="50">
        <v>91</v>
      </c>
      <c r="L705" s="50">
        <v>5.63</v>
      </c>
      <c r="M705" s="50">
        <v>5.69</v>
      </c>
      <c r="N705" s="50">
        <v>59</v>
      </c>
      <c r="O705" s="50">
        <v>12.9</v>
      </c>
      <c r="P705" s="50">
        <v>10.9</v>
      </c>
      <c r="Q705" s="50">
        <v>47.3</v>
      </c>
      <c r="R705" s="50">
        <v>41.4</v>
      </c>
      <c r="S705" s="50">
        <v>23.2</v>
      </c>
      <c r="T705" s="50">
        <v>47</v>
      </c>
      <c r="U705" s="50">
        <v>10.52</v>
      </c>
      <c r="V705" s="50">
        <v>57.9</v>
      </c>
      <c r="W705" s="50">
        <v>75</v>
      </c>
      <c r="X705" s="50">
        <v>346</v>
      </c>
      <c r="Y705" s="50">
        <v>12.58</v>
      </c>
      <c r="Z705" s="50">
        <v>29.4</v>
      </c>
      <c r="AA705" s="50">
        <v>5.85</v>
      </c>
      <c r="AB705" s="50"/>
      <c r="AC705" s="50"/>
      <c r="AD705" s="50"/>
      <c r="AE705" s="50"/>
      <c r="AF705" s="50"/>
      <c r="AG705" s="50"/>
      <c r="AH705" s="50"/>
      <c r="AI705" s="50"/>
      <c r="AJ705" s="50"/>
    </row>
    <row r="706" spans="1:36" ht="15" customHeight="1" x14ac:dyDescent="0.25">
      <c r="A706" s="50">
        <v>141</v>
      </c>
      <c r="B706" s="50" t="s">
        <v>926</v>
      </c>
      <c r="C706" s="50" t="s">
        <v>1352</v>
      </c>
      <c r="D706" s="50">
        <v>58</v>
      </c>
      <c r="E706" s="50" t="s">
        <v>1355</v>
      </c>
      <c r="F706" s="50">
        <v>21</v>
      </c>
      <c r="G706" s="50">
        <v>5.3</v>
      </c>
      <c r="H706" s="50">
        <v>34</v>
      </c>
      <c r="I706" s="50">
        <v>2.61</v>
      </c>
      <c r="J706" s="50">
        <v>105</v>
      </c>
      <c r="K706" s="50">
        <v>85</v>
      </c>
      <c r="L706" s="50">
        <v>5.37</v>
      </c>
      <c r="M706" s="50">
        <v>5.16</v>
      </c>
      <c r="N706" s="50">
        <v>55</v>
      </c>
      <c r="O706" s="50">
        <v>11.2</v>
      </c>
      <c r="P706" s="50">
        <v>10.6</v>
      </c>
      <c r="Q706" s="50">
        <v>40.200000000000003</v>
      </c>
      <c r="R706" s="50">
        <v>45.2</v>
      </c>
      <c r="S706" s="50">
        <v>24.5</v>
      </c>
      <c r="T706" s="50">
        <v>51</v>
      </c>
      <c r="U706" s="50">
        <v>8.43</v>
      </c>
      <c r="V706" s="50">
        <v>60.5</v>
      </c>
      <c r="W706" s="50">
        <v>72</v>
      </c>
      <c r="X706" s="50">
        <v>379</v>
      </c>
      <c r="Y706" s="50">
        <v>11.73</v>
      </c>
      <c r="Z706" s="50">
        <v>29.2</v>
      </c>
      <c r="AA706" s="50">
        <v>6.51</v>
      </c>
      <c r="AB706" s="50"/>
      <c r="AC706" s="50"/>
      <c r="AD706" s="50"/>
      <c r="AE706" s="50"/>
      <c r="AF706" s="50"/>
      <c r="AG706" s="50"/>
      <c r="AH706" s="50"/>
      <c r="AI706" s="50"/>
      <c r="AJ706" s="50"/>
    </row>
    <row r="707" spans="1:36" ht="15" customHeight="1" x14ac:dyDescent="0.25">
      <c r="A707" s="50">
        <v>142</v>
      </c>
      <c r="B707" s="50" t="s">
        <v>926</v>
      </c>
      <c r="C707" s="50" t="s">
        <v>1352</v>
      </c>
      <c r="D707" s="50">
        <v>45</v>
      </c>
      <c r="E707" s="50" t="s">
        <v>1360</v>
      </c>
      <c r="F707" s="50">
        <v>0</v>
      </c>
      <c r="G707" s="50">
        <v>7.2</v>
      </c>
      <c r="H707" s="50">
        <v>50</v>
      </c>
      <c r="I707" s="50">
        <v>3.15</v>
      </c>
      <c r="J707" s="50">
        <v>105</v>
      </c>
      <c r="K707" s="50">
        <v>100</v>
      </c>
      <c r="L707" s="50">
        <v>6.61</v>
      </c>
      <c r="M707" s="50">
        <v>5.88</v>
      </c>
      <c r="N707" s="50">
        <v>39</v>
      </c>
      <c r="O707" s="50">
        <v>12.9</v>
      </c>
      <c r="P707" s="50">
        <v>7.8</v>
      </c>
      <c r="Q707" s="50">
        <v>54.5</v>
      </c>
      <c r="R707" s="50">
        <v>23.6</v>
      </c>
      <c r="S707" s="50">
        <v>24.1</v>
      </c>
      <c r="T707" s="50">
        <v>51</v>
      </c>
      <c r="U707" s="50">
        <v>10.25</v>
      </c>
      <c r="V707" s="50">
        <v>54.9</v>
      </c>
      <c r="W707" s="50">
        <v>41</v>
      </c>
      <c r="X707" s="50">
        <v>421</v>
      </c>
      <c r="Y707" s="50">
        <v>13.44</v>
      </c>
      <c r="Z707" s="50">
        <v>15.9</v>
      </c>
      <c r="AA707" s="50">
        <v>5.07</v>
      </c>
      <c r="AB707" s="50"/>
      <c r="AC707" s="50"/>
      <c r="AD707" s="50"/>
      <c r="AE707" s="50"/>
      <c r="AF707" s="50"/>
      <c r="AG707" s="50"/>
      <c r="AH707" s="50"/>
      <c r="AI707" s="50"/>
      <c r="AJ707" s="50"/>
    </row>
    <row r="708" spans="1:36" ht="15" customHeight="1" x14ac:dyDescent="0.25">
      <c r="A708" s="50">
        <v>142</v>
      </c>
      <c r="B708" s="50" t="s">
        <v>926</v>
      </c>
      <c r="C708" s="50" t="s">
        <v>1352</v>
      </c>
      <c r="D708" s="50">
        <v>45</v>
      </c>
      <c r="E708" s="50" t="s">
        <v>1360</v>
      </c>
      <c r="F708" s="50">
        <v>4</v>
      </c>
      <c r="G708" s="50">
        <v>6.8</v>
      </c>
      <c r="H708" s="50">
        <v>49</v>
      </c>
      <c r="I708" s="50">
        <v>3.1</v>
      </c>
      <c r="J708" s="50">
        <v>102</v>
      </c>
      <c r="K708" s="50">
        <v>97</v>
      </c>
      <c r="L708" s="50">
        <v>6.18</v>
      </c>
      <c r="M708" s="50">
        <v>5.47</v>
      </c>
      <c r="N708" s="50">
        <v>39</v>
      </c>
      <c r="O708" s="50">
        <v>12.4</v>
      </c>
      <c r="P708" s="50">
        <v>7</v>
      </c>
      <c r="Q708" s="50">
        <v>56.1</v>
      </c>
      <c r="R708" s="50">
        <v>26.5</v>
      </c>
      <c r="S708" s="50">
        <v>26.8</v>
      </c>
      <c r="T708" s="50">
        <v>53</v>
      </c>
      <c r="U708" s="50">
        <v>10.23</v>
      </c>
      <c r="V708" s="50">
        <v>55.7</v>
      </c>
      <c r="W708" s="50">
        <v>43</v>
      </c>
      <c r="X708" s="50">
        <v>423</v>
      </c>
      <c r="Y708" s="50">
        <v>13.37</v>
      </c>
      <c r="Z708" s="50">
        <v>16.7</v>
      </c>
      <c r="AA708" s="50">
        <v>4.91</v>
      </c>
      <c r="AB708" s="50"/>
      <c r="AC708" s="50"/>
      <c r="AD708" s="50"/>
      <c r="AE708" s="50"/>
      <c r="AF708" s="50"/>
      <c r="AG708" s="50"/>
      <c r="AH708" s="50"/>
      <c r="AI708" s="50"/>
      <c r="AJ708" s="50"/>
    </row>
    <row r="709" spans="1:36" ht="15" customHeight="1" x14ac:dyDescent="0.25">
      <c r="A709" s="50">
        <v>142</v>
      </c>
      <c r="B709" s="50" t="s">
        <v>926</v>
      </c>
      <c r="C709" s="50" t="s">
        <v>1352</v>
      </c>
      <c r="D709" s="50">
        <v>45</v>
      </c>
      <c r="E709" s="50" t="s">
        <v>1360</v>
      </c>
      <c r="F709" s="50">
        <v>8</v>
      </c>
      <c r="G709" s="50">
        <v>6.4</v>
      </c>
      <c r="H709" s="50">
        <v>47</v>
      </c>
      <c r="I709" s="50">
        <v>2.95</v>
      </c>
      <c r="J709" s="50">
        <v>107</v>
      </c>
      <c r="K709" s="50">
        <v>94</v>
      </c>
      <c r="L709" s="50">
        <v>5.89</v>
      </c>
      <c r="M709" s="50">
        <v>5.07</v>
      </c>
      <c r="N709" s="50">
        <v>38</v>
      </c>
      <c r="O709" s="50">
        <v>11.3</v>
      </c>
      <c r="P709" s="50">
        <v>7.3</v>
      </c>
      <c r="Q709" s="50">
        <v>50.3</v>
      </c>
      <c r="R709" s="50">
        <v>29.7</v>
      </c>
      <c r="S709" s="50">
        <v>26.6</v>
      </c>
      <c r="T709" s="50">
        <v>55</v>
      </c>
      <c r="U709" s="50">
        <v>9.92</v>
      </c>
      <c r="V709" s="50">
        <v>59.4</v>
      </c>
      <c r="W709" s="50">
        <v>42</v>
      </c>
      <c r="X709" s="50">
        <v>431</v>
      </c>
      <c r="Y709" s="50">
        <v>13.02</v>
      </c>
      <c r="Z709" s="50">
        <v>17.3</v>
      </c>
      <c r="AA709" s="50">
        <v>5.03</v>
      </c>
      <c r="AB709" s="50"/>
      <c r="AC709" s="50"/>
      <c r="AD709" s="50"/>
      <c r="AE709" s="50"/>
      <c r="AF709" s="50"/>
      <c r="AG709" s="50"/>
      <c r="AH709" s="50"/>
      <c r="AI709" s="50"/>
      <c r="AJ709" s="50"/>
    </row>
    <row r="710" spans="1:36" ht="15" customHeight="1" x14ac:dyDescent="0.25">
      <c r="A710" s="50">
        <v>142</v>
      </c>
      <c r="B710" s="50" t="s">
        <v>926</v>
      </c>
      <c r="C710" s="50" t="s">
        <v>1352</v>
      </c>
      <c r="D710" s="50">
        <v>45</v>
      </c>
      <c r="E710" s="50" t="s">
        <v>1360</v>
      </c>
      <c r="F710" s="50">
        <v>12</v>
      </c>
      <c r="G710" s="50">
        <v>6.2</v>
      </c>
      <c r="H710" s="50">
        <v>45</v>
      </c>
      <c r="I710" s="50">
        <v>2.87</v>
      </c>
      <c r="J710" s="50">
        <v>107</v>
      </c>
      <c r="K710" s="50">
        <v>91</v>
      </c>
      <c r="L710" s="50">
        <v>5.61</v>
      </c>
      <c r="M710" s="50">
        <v>5.0999999999999996</v>
      </c>
      <c r="N710" s="50">
        <v>36</v>
      </c>
      <c r="O710" s="50">
        <v>11.3</v>
      </c>
      <c r="P710" s="50">
        <v>7.5</v>
      </c>
      <c r="Q710" s="50">
        <v>47.6</v>
      </c>
      <c r="R710" s="50">
        <v>32.799999999999997</v>
      </c>
      <c r="S710" s="50">
        <v>29.4</v>
      </c>
      <c r="T710" s="50">
        <v>57</v>
      </c>
      <c r="U710" s="50">
        <v>9.2899999999999991</v>
      </c>
      <c r="V710" s="50">
        <v>57.6</v>
      </c>
      <c r="W710" s="50">
        <v>45</v>
      </c>
      <c r="X710" s="50">
        <v>437</v>
      </c>
      <c r="Y710" s="50">
        <v>13.21</v>
      </c>
      <c r="Z710" s="50">
        <v>19</v>
      </c>
      <c r="AA710" s="50">
        <v>5.44</v>
      </c>
      <c r="AB710" s="50"/>
      <c r="AC710" s="50"/>
      <c r="AD710" s="50"/>
      <c r="AE710" s="50"/>
      <c r="AF710" s="50"/>
      <c r="AG710" s="50"/>
      <c r="AH710" s="50"/>
      <c r="AI710" s="50"/>
      <c r="AJ710" s="50"/>
    </row>
    <row r="711" spans="1:36" ht="15" customHeight="1" x14ac:dyDescent="0.25">
      <c r="A711" s="50">
        <v>142</v>
      </c>
      <c r="B711" s="50" t="s">
        <v>926</v>
      </c>
      <c r="C711" s="50" t="s">
        <v>1352</v>
      </c>
      <c r="D711" s="50">
        <v>45</v>
      </c>
      <c r="E711" s="50" t="s">
        <v>1360</v>
      </c>
      <c r="F711" s="50">
        <v>21</v>
      </c>
      <c r="G711" s="50">
        <v>5.3</v>
      </c>
      <c r="H711" s="50">
        <v>44</v>
      </c>
      <c r="I711" s="50">
        <v>2.72</v>
      </c>
      <c r="J711" s="50">
        <v>112</v>
      </c>
      <c r="K711" s="50">
        <v>85</v>
      </c>
      <c r="L711" s="50">
        <v>4.8499999999999996</v>
      </c>
      <c r="M711" s="50">
        <v>5.07</v>
      </c>
      <c r="N711" s="50">
        <v>34</v>
      </c>
      <c r="O711" s="50">
        <v>10.7</v>
      </c>
      <c r="P711" s="50">
        <v>7</v>
      </c>
      <c r="Q711" s="50">
        <v>42.6</v>
      </c>
      <c r="R711" s="50">
        <v>40</v>
      </c>
      <c r="S711" s="50">
        <v>32.1</v>
      </c>
      <c r="T711" s="50">
        <v>61</v>
      </c>
      <c r="U711" s="50">
        <v>7.27</v>
      </c>
      <c r="V711" s="50">
        <v>60</v>
      </c>
      <c r="W711" s="50">
        <v>49</v>
      </c>
      <c r="X711" s="50">
        <v>446</v>
      </c>
      <c r="Y711" s="50">
        <v>11.91</v>
      </c>
      <c r="Z711" s="50">
        <v>23.6</v>
      </c>
      <c r="AA711" s="50">
        <v>5.55</v>
      </c>
      <c r="AB711" s="50"/>
      <c r="AC711" s="50"/>
      <c r="AD711" s="50"/>
      <c r="AE711" s="50"/>
      <c r="AF711" s="50"/>
      <c r="AG711" s="50"/>
      <c r="AH711" s="50"/>
      <c r="AI711" s="50"/>
      <c r="AJ711" s="50"/>
    </row>
    <row r="712" spans="1:36" ht="15" customHeight="1" x14ac:dyDescent="0.25">
      <c r="A712" s="50">
        <v>143</v>
      </c>
      <c r="B712" s="50" t="s">
        <v>926</v>
      </c>
      <c r="C712" s="50" t="s">
        <v>1352</v>
      </c>
      <c r="D712" s="50">
        <v>41</v>
      </c>
      <c r="E712" s="50" t="s">
        <v>1355</v>
      </c>
      <c r="F712" s="50">
        <v>0</v>
      </c>
      <c r="G712" s="50">
        <v>5.7</v>
      </c>
      <c r="H712" s="50">
        <v>42</v>
      </c>
      <c r="I712" s="50">
        <v>3.45</v>
      </c>
      <c r="J712" s="50">
        <v>90</v>
      </c>
      <c r="K712" s="50">
        <v>100</v>
      </c>
      <c r="L712" s="50">
        <v>6.39</v>
      </c>
      <c r="M712" s="50">
        <v>6.38</v>
      </c>
      <c r="N712" s="50">
        <v>48</v>
      </c>
      <c r="O712" s="50">
        <v>10</v>
      </c>
      <c r="P712" s="50">
        <v>10.5</v>
      </c>
      <c r="Q712" s="50">
        <v>37.4</v>
      </c>
      <c r="R712" s="50">
        <v>19.600000000000001</v>
      </c>
      <c r="S712" s="50">
        <v>25.5</v>
      </c>
      <c r="T712" s="50">
        <v>40</v>
      </c>
      <c r="U712" s="50">
        <v>15.83</v>
      </c>
      <c r="V712" s="50">
        <v>57.9</v>
      </c>
      <c r="W712" s="50">
        <v>48</v>
      </c>
      <c r="X712" s="50">
        <v>338</v>
      </c>
      <c r="Y712" s="50">
        <v>18.29</v>
      </c>
      <c r="Z712" s="50">
        <v>19.899999999999999</v>
      </c>
      <c r="AA712" s="50">
        <v>4.41</v>
      </c>
      <c r="AB712" s="50"/>
      <c r="AC712" s="50"/>
      <c r="AD712" s="50"/>
      <c r="AE712" s="50"/>
      <c r="AF712" s="50"/>
      <c r="AG712" s="50"/>
      <c r="AH712" s="50"/>
      <c r="AI712" s="50"/>
      <c r="AJ712" s="50"/>
    </row>
    <row r="713" spans="1:36" ht="15" customHeight="1" x14ac:dyDescent="0.25">
      <c r="A713" s="50">
        <v>143</v>
      </c>
      <c r="B713" s="50" t="s">
        <v>926</v>
      </c>
      <c r="C713" s="50" t="s">
        <v>1352</v>
      </c>
      <c r="D713" s="50">
        <v>41</v>
      </c>
      <c r="E713" s="50" t="s">
        <v>1355</v>
      </c>
      <c r="F713" s="50">
        <v>4</v>
      </c>
      <c r="G713" s="50">
        <v>5.3</v>
      </c>
      <c r="H713" s="50">
        <v>41</v>
      </c>
      <c r="I713" s="50">
        <v>3.44</v>
      </c>
      <c r="J713" s="50">
        <v>92</v>
      </c>
      <c r="K713" s="50">
        <v>97</v>
      </c>
      <c r="L713" s="50">
        <v>5.74</v>
      </c>
      <c r="M713" s="50">
        <v>6.27</v>
      </c>
      <c r="N713" s="50">
        <v>42</v>
      </c>
      <c r="O713" s="50">
        <v>9.5</v>
      </c>
      <c r="P713" s="50">
        <v>9</v>
      </c>
      <c r="Q713" s="50">
        <v>34.200000000000003</v>
      </c>
      <c r="R713" s="50">
        <v>26.2</v>
      </c>
      <c r="S713" s="50">
        <v>27.1</v>
      </c>
      <c r="T713" s="50">
        <v>47</v>
      </c>
      <c r="U713" s="50">
        <v>15.24</v>
      </c>
      <c r="V713" s="50">
        <v>60.2</v>
      </c>
      <c r="W713" s="50">
        <v>50</v>
      </c>
      <c r="X713" s="50">
        <v>356</v>
      </c>
      <c r="Y713" s="50">
        <v>17.5</v>
      </c>
      <c r="Z713" s="50">
        <v>21.5</v>
      </c>
      <c r="AA713" s="50">
        <v>4.5599999999999996</v>
      </c>
      <c r="AB713" s="50"/>
      <c r="AC713" s="50"/>
      <c r="AD713" s="50"/>
      <c r="AE713" s="50"/>
      <c r="AF713" s="50"/>
      <c r="AG713" s="50"/>
      <c r="AH713" s="50"/>
      <c r="AI713" s="50"/>
      <c r="AJ713" s="50"/>
    </row>
    <row r="714" spans="1:36" ht="15" customHeight="1" x14ac:dyDescent="0.25">
      <c r="A714" s="50">
        <v>143</v>
      </c>
      <c r="B714" s="50" t="s">
        <v>926</v>
      </c>
      <c r="C714" s="50" t="s">
        <v>1352</v>
      </c>
      <c r="D714" s="50">
        <v>41</v>
      </c>
      <c r="E714" s="50" t="s">
        <v>1355</v>
      </c>
      <c r="F714" s="50">
        <v>8</v>
      </c>
      <c r="G714" s="50">
        <v>5.0999999999999996</v>
      </c>
      <c r="H714" s="50">
        <v>41</v>
      </c>
      <c r="I714" s="50">
        <v>3.33</v>
      </c>
      <c r="J714" s="50">
        <v>98</v>
      </c>
      <c r="K714" s="50">
        <v>94</v>
      </c>
      <c r="L714" s="50">
        <v>5.72</v>
      </c>
      <c r="M714" s="50">
        <v>6</v>
      </c>
      <c r="N714" s="50">
        <v>44</v>
      </c>
      <c r="O714" s="50">
        <v>8.3000000000000007</v>
      </c>
      <c r="P714" s="50">
        <v>9.6</v>
      </c>
      <c r="Q714" s="50">
        <v>33.5</v>
      </c>
      <c r="R714" s="50">
        <v>27.9</v>
      </c>
      <c r="S714" s="50">
        <v>29.2</v>
      </c>
      <c r="T714" s="50">
        <v>49</v>
      </c>
      <c r="U714" s="50">
        <v>14.14</v>
      </c>
      <c r="V714" s="50">
        <v>60.9</v>
      </c>
      <c r="W714" s="50">
        <v>52</v>
      </c>
      <c r="X714" s="50">
        <v>366</v>
      </c>
      <c r="Y714" s="50">
        <v>16.850000000000001</v>
      </c>
      <c r="Z714" s="50">
        <v>24.6</v>
      </c>
      <c r="AA714" s="50">
        <v>4.75</v>
      </c>
      <c r="AB714" s="50"/>
      <c r="AC714" s="50"/>
      <c r="AD714" s="50"/>
      <c r="AE714" s="50"/>
      <c r="AF714" s="50"/>
      <c r="AG714" s="50"/>
      <c r="AH714" s="50"/>
      <c r="AI714" s="50"/>
      <c r="AJ714" s="50"/>
    </row>
    <row r="715" spans="1:36" ht="15" customHeight="1" x14ac:dyDescent="0.25">
      <c r="A715" s="50">
        <v>143</v>
      </c>
      <c r="B715" s="50" t="s">
        <v>926</v>
      </c>
      <c r="C715" s="50" t="s">
        <v>1352</v>
      </c>
      <c r="D715" s="50">
        <v>41</v>
      </c>
      <c r="E715" s="50" t="s">
        <v>1355</v>
      </c>
      <c r="F715" s="50">
        <v>12</v>
      </c>
      <c r="G715" s="50">
        <v>4.8</v>
      </c>
      <c r="H715" s="50">
        <v>40</v>
      </c>
      <c r="I715" s="50">
        <v>3.22</v>
      </c>
      <c r="J715" s="50">
        <v>102</v>
      </c>
      <c r="K715" s="50">
        <v>91</v>
      </c>
      <c r="L715" s="50">
        <v>5.41</v>
      </c>
      <c r="M715" s="50">
        <v>5.5</v>
      </c>
      <c r="N715" s="50">
        <v>40</v>
      </c>
      <c r="O715" s="50">
        <v>9.8000000000000007</v>
      </c>
      <c r="P715" s="50">
        <v>9.6999999999999993</v>
      </c>
      <c r="Q715" s="50">
        <v>31.1</v>
      </c>
      <c r="R715" s="50">
        <v>29.9</v>
      </c>
      <c r="S715" s="50">
        <v>31</v>
      </c>
      <c r="T715" s="50">
        <v>52</v>
      </c>
      <c r="U715" s="50">
        <v>14.01</v>
      </c>
      <c r="V715" s="50">
        <v>63</v>
      </c>
      <c r="W715" s="50">
        <v>55</v>
      </c>
      <c r="X715" s="50">
        <v>385</v>
      </c>
      <c r="Y715" s="50">
        <v>16.59</v>
      </c>
      <c r="Z715" s="50">
        <v>24</v>
      </c>
      <c r="AA715" s="50">
        <v>5.07</v>
      </c>
      <c r="AB715" s="50"/>
      <c r="AC715" s="50"/>
      <c r="AD715" s="50"/>
      <c r="AE715" s="50"/>
      <c r="AF715" s="50"/>
      <c r="AG715" s="50"/>
      <c r="AH715" s="50"/>
      <c r="AI715" s="50"/>
      <c r="AJ715" s="50"/>
    </row>
    <row r="716" spans="1:36" ht="15" customHeight="1" x14ac:dyDescent="0.25">
      <c r="A716" s="50">
        <v>143</v>
      </c>
      <c r="B716" s="50" t="s">
        <v>926</v>
      </c>
      <c r="C716" s="50" t="s">
        <v>1352</v>
      </c>
      <c r="D716" s="50">
        <v>41</v>
      </c>
      <c r="E716" s="50" t="s">
        <v>1355</v>
      </c>
      <c r="F716" s="50">
        <v>21</v>
      </c>
      <c r="G716" s="50">
        <v>4.2</v>
      </c>
      <c r="H716" s="50">
        <v>38</v>
      </c>
      <c r="I716" s="50">
        <v>2.86</v>
      </c>
      <c r="J716" s="50">
        <v>107</v>
      </c>
      <c r="K716" s="50">
        <v>85</v>
      </c>
      <c r="L716" s="50">
        <v>4.88</v>
      </c>
      <c r="M716" s="50">
        <v>4.84</v>
      </c>
      <c r="N716" s="50">
        <v>37</v>
      </c>
      <c r="O716" s="50">
        <v>8.9</v>
      </c>
      <c r="P716" s="50">
        <v>9</v>
      </c>
      <c r="Q716" s="50">
        <v>30</v>
      </c>
      <c r="R716" s="50">
        <v>32.799999999999997</v>
      </c>
      <c r="S716" s="50">
        <v>33.799999999999997</v>
      </c>
      <c r="T716" s="50">
        <v>54</v>
      </c>
      <c r="U716" s="50">
        <v>11.01</v>
      </c>
      <c r="V716" s="50">
        <v>65.400000000000006</v>
      </c>
      <c r="W716" s="50">
        <v>61</v>
      </c>
      <c r="X716" s="50">
        <v>404</v>
      </c>
      <c r="Y716" s="50">
        <v>15.71</v>
      </c>
      <c r="Z716" s="50">
        <v>27.2</v>
      </c>
      <c r="AA716" s="50">
        <v>5.47</v>
      </c>
      <c r="AB716" s="50"/>
      <c r="AC716" s="50"/>
      <c r="AD716" s="50"/>
      <c r="AE716" s="50"/>
      <c r="AF716" s="50"/>
      <c r="AG716" s="50"/>
      <c r="AH716" s="50"/>
      <c r="AI716" s="50"/>
      <c r="AJ716" s="50"/>
    </row>
    <row r="717" spans="1:36" ht="15" customHeight="1" x14ac:dyDescent="0.25">
      <c r="A717" s="50">
        <v>144</v>
      </c>
      <c r="B717" s="50" t="s">
        <v>926</v>
      </c>
      <c r="C717" s="50" t="s">
        <v>1352</v>
      </c>
      <c r="D717" s="50">
        <v>38</v>
      </c>
      <c r="E717" s="50" t="s">
        <v>1353</v>
      </c>
      <c r="F717" s="50">
        <v>0</v>
      </c>
      <c r="G717" s="50">
        <v>6.4</v>
      </c>
      <c r="H717" s="50">
        <v>50</v>
      </c>
      <c r="I717" s="50">
        <v>3.55</v>
      </c>
      <c r="J717" s="50">
        <v>100</v>
      </c>
      <c r="K717" s="50">
        <v>100</v>
      </c>
      <c r="L717" s="50">
        <v>7.34</v>
      </c>
      <c r="M717" s="50">
        <v>5.22</v>
      </c>
      <c r="N717" s="50">
        <v>46</v>
      </c>
      <c r="O717" s="50">
        <v>15.8</v>
      </c>
      <c r="P717" s="50">
        <v>11.2</v>
      </c>
      <c r="Q717" s="50">
        <v>52.3</v>
      </c>
      <c r="R717" s="50">
        <v>36.700000000000003</v>
      </c>
      <c r="S717" s="50">
        <v>12</v>
      </c>
      <c r="T717" s="50">
        <v>33</v>
      </c>
      <c r="U717" s="50">
        <v>5.65</v>
      </c>
      <c r="V717" s="50">
        <v>66.2</v>
      </c>
      <c r="W717" s="50">
        <v>46</v>
      </c>
      <c r="X717" s="50">
        <v>324</v>
      </c>
      <c r="Y717" s="50">
        <v>13.47</v>
      </c>
      <c r="Z717" s="50">
        <v>26.3</v>
      </c>
      <c r="AA717" s="50">
        <v>5.31</v>
      </c>
      <c r="AB717" s="50"/>
      <c r="AC717" s="50"/>
      <c r="AD717" s="50"/>
      <c r="AE717" s="50"/>
      <c r="AF717" s="50"/>
      <c r="AG717" s="50"/>
      <c r="AH717" s="50"/>
      <c r="AI717" s="50"/>
      <c r="AJ717" s="50"/>
    </row>
    <row r="718" spans="1:36" ht="15" customHeight="1" x14ac:dyDescent="0.25">
      <c r="A718" s="50">
        <v>144</v>
      </c>
      <c r="B718" s="50" t="s">
        <v>926</v>
      </c>
      <c r="C718" s="50" t="s">
        <v>1352</v>
      </c>
      <c r="D718" s="50">
        <v>38</v>
      </c>
      <c r="E718" s="50" t="s">
        <v>1353</v>
      </c>
      <c r="F718" s="50">
        <v>4</v>
      </c>
      <c r="G718" s="50">
        <v>6.4</v>
      </c>
      <c r="H718" s="50">
        <v>48</v>
      </c>
      <c r="I718" s="50">
        <v>3.53</v>
      </c>
      <c r="J718" s="50">
        <v>103</v>
      </c>
      <c r="K718" s="50">
        <v>97</v>
      </c>
      <c r="L718" s="50">
        <v>7.62</v>
      </c>
      <c r="M718" s="50">
        <v>5.19</v>
      </c>
      <c r="N718" s="50">
        <v>49</v>
      </c>
      <c r="O718" s="50">
        <v>15.9</v>
      </c>
      <c r="P718" s="50">
        <v>11.8</v>
      </c>
      <c r="Q718" s="50">
        <v>54</v>
      </c>
      <c r="R718" s="50">
        <v>36</v>
      </c>
      <c r="S718" s="50">
        <v>14</v>
      </c>
      <c r="T718" s="50">
        <v>34</v>
      </c>
      <c r="U718" s="50">
        <v>4.88</v>
      </c>
      <c r="V718" s="50">
        <v>67.8</v>
      </c>
      <c r="W718" s="50">
        <v>47</v>
      </c>
      <c r="X718" s="50">
        <v>329</v>
      </c>
      <c r="Y718" s="50">
        <v>13.66</v>
      </c>
      <c r="Z718" s="50">
        <v>26.2</v>
      </c>
      <c r="AA718" s="50">
        <v>5.26</v>
      </c>
      <c r="AB718" s="50"/>
      <c r="AC718" s="50"/>
      <c r="AD718" s="50"/>
      <c r="AE718" s="50"/>
      <c r="AF718" s="50"/>
      <c r="AG718" s="50"/>
      <c r="AH718" s="50"/>
      <c r="AI718" s="50"/>
      <c r="AJ718" s="50"/>
    </row>
    <row r="719" spans="1:36" ht="15" customHeight="1" x14ac:dyDescent="0.25">
      <c r="A719" s="50">
        <v>144</v>
      </c>
      <c r="B719" s="50" t="s">
        <v>926</v>
      </c>
      <c r="C719" s="50" t="s">
        <v>1352</v>
      </c>
      <c r="D719" s="50">
        <v>38</v>
      </c>
      <c r="E719" s="50" t="s">
        <v>1353</v>
      </c>
      <c r="F719" s="50">
        <v>8</v>
      </c>
      <c r="G719" s="50">
        <v>6</v>
      </c>
      <c r="H719" s="50">
        <v>48</v>
      </c>
      <c r="I719" s="50">
        <v>3.42</v>
      </c>
      <c r="J719" s="50">
        <v>100</v>
      </c>
      <c r="K719" s="50">
        <v>94</v>
      </c>
      <c r="L719" s="50">
        <v>6.94</v>
      </c>
      <c r="M719" s="50">
        <v>5.2</v>
      </c>
      <c r="N719" s="50">
        <v>48</v>
      </c>
      <c r="O719" s="50">
        <v>16.3</v>
      </c>
      <c r="P719" s="50">
        <v>11.9</v>
      </c>
      <c r="Q719" s="50">
        <v>49.6</v>
      </c>
      <c r="R719" s="50">
        <v>38.799999999999997</v>
      </c>
      <c r="S719" s="50">
        <v>15.2</v>
      </c>
      <c r="T719" s="50">
        <v>38</v>
      </c>
      <c r="U719" s="50">
        <v>5.19</v>
      </c>
      <c r="V719" s="50">
        <v>66.5</v>
      </c>
      <c r="W719" s="50">
        <v>48</v>
      </c>
      <c r="X719" s="50">
        <v>336</v>
      </c>
      <c r="Y719" s="50">
        <v>12.8</v>
      </c>
      <c r="Z719" s="50">
        <v>27</v>
      </c>
      <c r="AA719" s="50">
        <v>5.38</v>
      </c>
      <c r="AB719" s="50"/>
      <c r="AC719" s="50"/>
      <c r="AD719" s="50"/>
      <c r="AE719" s="50"/>
      <c r="AF719" s="50"/>
      <c r="AG719" s="50"/>
      <c r="AH719" s="50"/>
      <c r="AI719" s="50"/>
      <c r="AJ719" s="50"/>
    </row>
    <row r="720" spans="1:36" ht="15" customHeight="1" x14ac:dyDescent="0.25">
      <c r="A720" s="50">
        <v>144</v>
      </c>
      <c r="B720" s="50" t="s">
        <v>926</v>
      </c>
      <c r="C720" s="50" t="s">
        <v>1352</v>
      </c>
      <c r="D720" s="50">
        <v>38</v>
      </c>
      <c r="E720" s="50" t="s">
        <v>1353</v>
      </c>
      <c r="F720" s="50">
        <v>12</v>
      </c>
      <c r="G720" s="50">
        <v>5.5</v>
      </c>
      <c r="H720" s="50">
        <v>49</v>
      </c>
      <c r="I720" s="50">
        <v>3.36</v>
      </c>
      <c r="J720" s="50">
        <v>106</v>
      </c>
      <c r="K720" s="50">
        <v>91</v>
      </c>
      <c r="L720" s="50">
        <v>6.29</v>
      </c>
      <c r="M720" s="50">
        <v>4.7</v>
      </c>
      <c r="N720" s="50">
        <v>42</v>
      </c>
      <c r="O720" s="50">
        <v>15</v>
      </c>
      <c r="P720" s="50">
        <v>11.1</v>
      </c>
      <c r="Q720" s="50">
        <v>47.2</v>
      </c>
      <c r="R720" s="50">
        <v>42.5</v>
      </c>
      <c r="S720" s="50">
        <v>18.7</v>
      </c>
      <c r="T720" s="50">
        <v>43</v>
      </c>
      <c r="U720" s="50">
        <v>5.36</v>
      </c>
      <c r="V720" s="50">
        <v>67.099999999999994</v>
      </c>
      <c r="W720" s="50">
        <v>49</v>
      </c>
      <c r="X720" s="50">
        <v>353</v>
      </c>
      <c r="Y720" s="50">
        <v>13.09</v>
      </c>
      <c r="Z720" s="50">
        <v>29.6</v>
      </c>
      <c r="AA720" s="50">
        <v>5.27</v>
      </c>
      <c r="AB720" s="50"/>
      <c r="AC720" s="50"/>
      <c r="AD720" s="50"/>
      <c r="AE720" s="50"/>
      <c r="AF720" s="50"/>
      <c r="AG720" s="50"/>
      <c r="AH720" s="50"/>
      <c r="AI720" s="50"/>
      <c r="AJ720" s="50"/>
    </row>
    <row r="721" spans="1:36" ht="15" customHeight="1" x14ac:dyDescent="0.25">
      <c r="A721" s="50">
        <v>144</v>
      </c>
      <c r="B721" s="50" t="s">
        <v>926</v>
      </c>
      <c r="C721" s="50" t="s">
        <v>1352</v>
      </c>
      <c r="D721" s="50">
        <v>38</v>
      </c>
      <c r="E721" s="50" t="s">
        <v>1353</v>
      </c>
      <c r="F721" s="50">
        <v>21</v>
      </c>
      <c r="G721" s="50">
        <v>4.9000000000000004</v>
      </c>
      <c r="H721" s="50">
        <v>45</v>
      </c>
      <c r="I721" s="50">
        <v>3.07</v>
      </c>
      <c r="J721" s="50">
        <v>112</v>
      </c>
      <c r="K721" s="50">
        <v>85</v>
      </c>
      <c r="L721" s="50">
        <v>5.84</v>
      </c>
      <c r="M721" s="50">
        <v>4.41</v>
      </c>
      <c r="N721" s="50">
        <v>43</v>
      </c>
      <c r="O721" s="50">
        <v>13.7</v>
      </c>
      <c r="P721" s="50">
        <v>11.2</v>
      </c>
      <c r="Q721" s="50">
        <v>43.3</v>
      </c>
      <c r="R721" s="50">
        <v>45.8</v>
      </c>
      <c r="S721" s="50">
        <v>21.9</v>
      </c>
      <c r="T721" s="50">
        <v>47</v>
      </c>
      <c r="U721" s="50">
        <v>4.0199999999999996</v>
      </c>
      <c r="V721" s="50">
        <v>68.900000000000006</v>
      </c>
      <c r="W721" s="50">
        <v>52</v>
      </c>
      <c r="X721" s="50">
        <v>373</v>
      </c>
      <c r="Y721" s="50">
        <v>11.65</v>
      </c>
      <c r="Z721" s="50">
        <v>30.7</v>
      </c>
      <c r="AA721" s="50">
        <v>5.54</v>
      </c>
      <c r="AB721" s="50"/>
      <c r="AC721" s="50"/>
      <c r="AD721" s="50"/>
      <c r="AE721" s="50"/>
      <c r="AF721" s="50"/>
      <c r="AG721" s="50"/>
      <c r="AH721" s="50"/>
      <c r="AI721" s="50"/>
      <c r="AJ721" s="50"/>
    </row>
    <row r="722" spans="1:36" ht="15" customHeight="1" x14ac:dyDescent="0.25">
      <c r="A722" s="50">
        <v>145</v>
      </c>
      <c r="B722" s="50" t="s">
        <v>926</v>
      </c>
      <c r="C722" s="50" t="s">
        <v>1352</v>
      </c>
      <c r="D722" s="50">
        <v>41</v>
      </c>
      <c r="E722" s="50" t="s">
        <v>1355</v>
      </c>
      <c r="F722" s="50">
        <v>0</v>
      </c>
      <c r="G722" s="50">
        <v>6.6</v>
      </c>
      <c r="H722" s="50">
        <v>42</v>
      </c>
      <c r="I722" s="50">
        <v>3.92</v>
      </c>
      <c r="J722" s="50">
        <v>81</v>
      </c>
      <c r="K722" s="50">
        <v>100</v>
      </c>
      <c r="L722" s="50">
        <v>6.7</v>
      </c>
      <c r="M722" s="50">
        <v>5.7</v>
      </c>
      <c r="N722" s="50">
        <v>38</v>
      </c>
      <c r="O722" s="50">
        <v>14.8</v>
      </c>
      <c r="P722" s="50">
        <v>14.6</v>
      </c>
      <c r="Q722" s="50">
        <v>56.8</v>
      </c>
      <c r="R722" s="50">
        <v>38.700000000000003</v>
      </c>
      <c r="S722" s="50">
        <v>12.9</v>
      </c>
      <c r="T722" s="50">
        <v>28</v>
      </c>
      <c r="U722" s="50">
        <v>12.41</v>
      </c>
      <c r="V722" s="50">
        <v>60.5</v>
      </c>
      <c r="W722" s="50">
        <v>47</v>
      </c>
      <c r="X722" s="50">
        <v>216</v>
      </c>
      <c r="Y722" s="50">
        <v>14.98</v>
      </c>
      <c r="Z722" s="50">
        <v>31.3</v>
      </c>
      <c r="AA722" s="50">
        <v>4.72</v>
      </c>
      <c r="AB722" s="50"/>
      <c r="AC722" s="50"/>
      <c r="AD722" s="50"/>
      <c r="AE722" s="50"/>
      <c r="AF722" s="50"/>
      <c r="AG722" s="50"/>
      <c r="AH722" s="50"/>
      <c r="AI722" s="50"/>
      <c r="AJ722" s="50"/>
    </row>
    <row r="723" spans="1:36" ht="15" customHeight="1" x14ac:dyDescent="0.25">
      <c r="A723" s="50">
        <v>145</v>
      </c>
      <c r="B723" s="50" t="s">
        <v>926</v>
      </c>
      <c r="C723" s="50" t="s">
        <v>1352</v>
      </c>
      <c r="D723" s="50">
        <v>41</v>
      </c>
      <c r="E723" s="50" t="s">
        <v>1355</v>
      </c>
      <c r="F723" s="50">
        <v>4</v>
      </c>
      <c r="G723" s="50">
        <v>6.1</v>
      </c>
      <c r="H723" s="50">
        <v>42</v>
      </c>
      <c r="I723" s="50">
        <v>3.82</v>
      </c>
      <c r="J723" s="50">
        <v>85</v>
      </c>
      <c r="K723" s="50">
        <v>97</v>
      </c>
      <c r="L723" s="50">
        <v>6.2</v>
      </c>
      <c r="M723" s="50">
        <v>5.53</v>
      </c>
      <c r="N723" s="50">
        <v>36</v>
      </c>
      <c r="O723" s="50">
        <v>14</v>
      </c>
      <c r="P723" s="50">
        <v>12.6</v>
      </c>
      <c r="Q723" s="50">
        <v>52.4</v>
      </c>
      <c r="R723" s="50">
        <v>42.4</v>
      </c>
      <c r="S723" s="50">
        <v>16.2</v>
      </c>
      <c r="T723" s="50">
        <v>32</v>
      </c>
      <c r="U723" s="50">
        <v>12.1</v>
      </c>
      <c r="V723" s="50">
        <v>61.9</v>
      </c>
      <c r="W723" s="50">
        <v>46</v>
      </c>
      <c r="X723" s="50">
        <v>248</v>
      </c>
      <c r="Y723" s="50">
        <v>14.46</v>
      </c>
      <c r="Z723" s="50">
        <v>32.200000000000003</v>
      </c>
      <c r="AA723" s="50">
        <v>5.24</v>
      </c>
      <c r="AB723" s="50"/>
      <c r="AC723" s="50"/>
      <c r="AD723" s="50"/>
      <c r="AE723" s="50"/>
      <c r="AF723" s="50"/>
      <c r="AG723" s="50"/>
      <c r="AH723" s="50"/>
      <c r="AI723" s="50"/>
      <c r="AJ723" s="50"/>
    </row>
    <row r="724" spans="1:36" ht="15" customHeight="1" x14ac:dyDescent="0.25">
      <c r="A724" s="50">
        <v>145</v>
      </c>
      <c r="B724" s="50" t="s">
        <v>926</v>
      </c>
      <c r="C724" s="50" t="s">
        <v>1352</v>
      </c>
      <c r="D724" s="50">
        <v>41</v>
      </c>
      <c r="E724" s="50" t="s">
        <v>1355</v>
      </c>
      <c r="F724" s="50">
        <v>8</v>
      </c>
      <c r="G724" s="50">
        <v>6.1</v>
      </c>
      <c r="H724" s="50">
        <v>42</v>
      </c>
      <c r="I724" s="50">
        <v>3.71</v>
      </c>
      <c r="J724" s="50">
        <v>88</v>
      </c>
      <c r="K724" s="50">
        <v>94</v>
      </c>
      <c r="L724" s="50">
        <v>5.95</v>
      </c>
      <c r="M724" s="50">
        <v>5.38</v>
      </c>
      <c r="N724" s="50">
        <v>35</v>
      </c>
      <c r="O724" s="50">
        <v>14.4</v>
      </c>
      <c r="P724" s="50">
        <v>13.2</v>
      </c>
      <c r="Q724" s="50">
        <v>53.8</v>
      </c>
      <c r="R724" s="50">
        <v>44.7</v>
      </c>
      <c r="S724" s="50">
        <v>15.4</v>
      </c>
      <c r="T724" s="50">
        <v>32</v>
      </c>
      <c r="U724" s="50">
        <v>12.08</v>
      </c>
      <c r="V724" s="50">
        <v>60.6</v>
      </c>
      <c r="W724" s="50">
        <v>47</v>
      </c>
      <c r="X724" s="50">
        <v>253</v>
      </c>
      <c r="Y724" s="50">
        <v>14.19</v>
      </c>
      <c r="Z724" s="50">
        <v>32.4</v>
      </c>
      <c r="AA724" s="50">
        <v>5.38</v>
      </c>
      <c r="AB724" s="50"/>
      <c r="AC724" s="50"/>
      <c r="AD724" s="50"/>
      <c r="AE724" s="50"/>
      <c r="AF724" s="50"/>
      <c r="AG724" s="50"/>
      <c r="AH724" s="50"/>
      <c r="AI724" s="50"/>
      <c r="AJ724" s="50"/>
    </row>
    <row r="725" spans="1:36" ht="15" customHeight="1" x14ac:dyDescent="0.25">
      <c r="A725" s="50">
        <v>145</v>
      </c>
      <c r="B725" s="50" t="s">
        <v>926</v>
      </c>
      <c r="C725" s="50" t="s">
        <v>1352</v>
      </c>
      <c r="D725" s="50">
        <v>41</v>
      </c>
      <c r="E725" s="50" t="s">
        <v>1355</v>
      </c>
      <c r="F725" s="50">
        <v>12</v>
      </c>
      <c r="G725" s="50">
        <v>5.5</v>
      </c>
      <c r="H725" s="50">
        <v>41</v>
      </c>
      <c r="I725" s="50">
        <v>3.62</v>
      </c>
      <c r="J725" s="50">
        <v>88</v>
      </c>
      <c r="K725" s="50">
        <v>91</v>
      </c>
      <c r="L725" s="50">
        <v>5.52</v>
      </c>
      <c r="M725" s="50">
        <v>5.04</v>
      </c>
      <c r="N725" s="50">
        <v>36</v>
      </c>
      <c r="O725" s="50">
        <v>13.8</v>
      </c>
      <c r="P725" s="50">
        <v>13.7</v>
      </c>
      <c r="Q725" s="50">
        <v>49.1</v>
      </c>
      <c r="R725" s="50">
        <v>46.4</v>
      </c>
      <c r="S725" s="50">
        <v>22.7</v>
      </c>
      <c r="T725" s="50">
        <v>35</v>
      </c>
      <c r="U725" s="50">
        <v>11.25</v>
      </c>
      <c r="V725" s="50">
        <v>63.8</v>
      </c>
      <c r="W725" s="50">
        <v>53</v>
      </c>
      <c r="X725" s="50">
        <v>290</v>
      </c>
      <c r="Y725" s="50">
        <v>13.99</v>
      </c>
      <c r="Z725" s="50">
        <v>34.5</v>
      </c>
      <c r="AA725" s="50">
        <v>5.42</v>
      </c>
      <c r="AB725" s="50"/>
      <c r="AC725" s="50"/>
      <c r="AD725" s="50"/>
      <c r="AE725" s="50"/>
      <c r="AF725" s="50"/>
      <c r="AG725" s="50"/>
      <c r="AH725" s="50"/>
      <c r="AI725" s="50"/>
      <c r="AJ725" s="50"/>
    </row>
    <row r="726" spans="1:36" ht="15" customHeight="1" x14ac:dyDescent="0.25">
      <c r="A726" s="50">
        <v>145</v>
      </c>
      <c r="B726" s="50" t="s">
        <v>926</v>
      </c>
      <c r="C726" s="50" t="s">
        <v>1352</v>
      </c>
      <c r="D726" s="50">
        <v>41</v>
      </c>
      <c r="E726" s="50" t="s">
        <v>1355</v>
      </c>
      <c r="F726" s="50">
        <v>21</v>
      </c>
      <c r="G726" s="50">
        <v>5</v>
      </c>
      <c r="H726" s="50">
        <v>37</v>
      </c>
      <c r="I726" s="50">
        <v>3.28</v>
      </c>
      <c r="J726" s="50">
        <v>95</v>
      </c>
      <c r="K726" s="50">
        <v>85</v>
      </c>
      <c r="L726" s="50">
        <v>5.19</v>
      </c>
      <c r="M726" s="50">
        <v>4.99</v>
      </c>
      <c r="N726" s="50">
        <v>33</v>
      </c>
      <c r="O726" s="50">
        <v>12.9</v>
      </c>
      <c r="P726" s="50">
        <v>12.6</v>
      </c>
      <c r="Q726" s="50">
        <v>48.5</v>
      </c>
      <c r="R726" s="50">
        <v>52.5</v>
      </c>
      <c r="S726" s="50">
        <v>26.1</v>
      </c>
      <c r="T726" s="50">
        <v>39</v>
      </c>
      <c r="U726" s="50">
        <v>11.3</v>
      </c>
      <c r="V726" s="50">
        <v>61.5</v>
      </c>
      <c r="W726" s="50">
        <v>58</v>
      </c>
      <c r="X726" s="50">
        <v>313</v>
      </c>
      <c r="Y726" s="50">
        <v>13.53</v>
      </c>
      <c r="Z726" s="50">
        <v>36.799999999999997</v>
      </c>
      <c r="AA726" s="50">
        <v>5.75</v>
      </c>
      <c r="AB726" s="50"/>
      <c r="AC726" s="50"/>
      <c r="AD726" s="50"/>
      <c r="AE726" s="50"/>
      <c r="AF726" s="50"/>
      <c r="AG726" s="50"/>
      <c r="AH726" s="50"/>
      <c r="AI726" s="50"/>
      <c r="AJ726" s="50"/>
    </row>
    <row r="727" spans="1:36" ht="15" customHeight="1" x14ac:dyDescent="0.25">
      <c r="A727" s="50">
        <v>146</v>
      </c>
      <c r="B727" s="50" t="s">
        <v>926</v>
      </c>
      <c r="C727" s="50" t="s">
        <v>1352</v>
      </c>
      <c r="D727" s="50">
        <v>37</v>
      </c>
      <c r="E727" s="50" t="s">
        <v>1353</v>
      </c>
      <c r="F727" s="50">
        <v>0</v>
      </c>
      <c r="G727" s="50">
        <v>7.6</v>
      </c>
      <c r="H727" s="50">
        <v>46</v>
      </c>
      <c r="I727" s="50">
        <v>3.23</v>
      </c>
      <c r="J727" s="50">
        <v>83</v>
      </c>
      <c r="K727" s="50">
        <v>100</v>
      </c>
      <c r="L727" s="50">
        <v>7.06</v>
      </c>
      <c r="M727" s="50">
        <v>6.59</v>
      </c>
      <c r="N727" s="50">
        <v>34</v>
      </c>
      <c r="O727" s="50">
        <v>15</v>
      </c>
      <c r="P727" s="50">
        <v>12.6</v>
      </c>
      <c r="Q727" s="50">
        <v>40.9</v>
      </c>
      <c r="R727" s="50">
        <v>35.200000000000003</v>
      </c>
      <c r="S727" s="50">
        <v>17.100000000000001</v>
      </c>
      <c r="T727" s="50">
        <v>32</v>
      </c>
      <c r="U727" s="50">
        <v>2.5299999999999998</v>
      </c>
      <c r="V727" s="50">
        <v>52.4</v>
      </c>
      <c r="W727" s="50">
        <v>50</v>
      </c>
      <c r="X727" s="50">
        <v>474</v>
      </c>
      <c r="Y727" s="50">
        <v>12.14</v>
      </c>
      <c r="Z727" s="50">
        <v>22.5</v>
      </c>
      <c r="AA727" s="50">
        <v>4.17</v>
      </c>
      <c r="AB727" s="50"/>
      <c r="AC727" s="50"/>
      <c r="AD727" s="50"/>
      <c r="AE727" s="50"/>
      <c r="AF727" s="50"/>
      <c r="AG727" s="50"/>
      <c r="AH727" s="50"/>
      <c r="AI727" s="50"/>
      <c r="AJ727" s="50"/>
    </row>
    <row r="728" spans="1:36" ht="15" customHeight="1" x14ac:dyDescent="0.25">
      <c r="A728" s="50">
        <v>146</v>
      </c>
      <c r="B728" s="50" t="s">
        <v>926</v>
      </c>
      <c r="C728" s="50" t="s">
        <v>1352</v>
      </c>
      <c r="D728" s="50">
        <v>37</v>
      </c>
      <c r="E728" s="50" t="s">
        <v>1353</v>
      </c>
      <c r="F728" s="50">
        <v>4</v>
      </c>
      <c r="G728" s="50">
        <v>7.4</v>
      </c>
      <c r="H728" s="50">
        <v>45</v>
      </c>
      <c r="I728" s="50">
        <v>3.06</v>
      </c>
      <c r="J728" s="50">
        <v>87</v>
      </c>
      <c r="K728" s="50">
        <v>97</v>
      </c>
      <c r="L728" s="50">
        <v>6.63</v>
      </c>
      <c r="M728" s="50">
        <v>6.32</v>
      </c>
      <c r="N728" s="50">
        <v>34</v>
      </c>
      <c r="O728" s="50">
        <v>14.5</v>
      </c>
      <c r="P728" s="50">
        <v>13.1</v>
      </c>
      <c r="Q728" s="50">
        <v>39.700000000000003</v>
      </c>
      <c r="R728" s="50">
        <v>37.1</v>
      </c>
      <c r="S728" s="50">
        <v>17.5</v>
      </c>
      <c r="T728" s="50">
        <v>34</v>
      </c>
      <c r="U728" s="50">
        <v>2.5299999999999998</v>
      </c>
      <c r="V728" s="50">
        <v>54.1</v>
      </c>
      <c r="W728" s="50">
        <v>48</v>
      </c>
      <c r="X728" s="50">
        <v>479</v>
      </c>
      <c r="Y728" s="50">
        <v>12.02</v>
      </c>
      <c r="Z728" s="50">
        <v>24.7</v>
      </c>
      <c r="AA728" s="50">
        <v>4.12</v>
      </c>
      <c r="AB728" s="50"/>
      <c r="AC728" s="50"/>
      <c r="AD728" s="50"/>
      <c r="AE728" s="50"/>
      <c r="AF728" s="50"/>
      <c r="AG728" s="50"/>
      <c r="AH728" s="50"/>
      <c r="AI728" s="50"/>
      <c r="AJ728" s="50"/>
    </row>
    <row r="729" spans="1:36" ht="15" customHeight="1" x14ac:dyDescent="0.25">
      <c r="A729" s="50">
        <v>146</v>
      </c>
      <c r="B729" s="50" t="s">
        <v>926</v>
      </c>
      <c r="C729" s="50" t="s">
        <v>1352</v>
      </c>
      <c r="D729" s="50">
        <v>37</v>
      </c>
      <c r="E729" s="50" t="s">
        <v>1353</v>
      </c>
      <c r="F729" s="50">
        <v>8</v>
      </c>
      <c r="G729" s="50">
        <v>7.2</v>
      </c>
      <c r="H729" s="50">
        <v>45</v>
      </c>
      <c r="I729" s="50">
        <v>3.04</v>
      </c>
      <c r="J729" s="50">
        <v>93</v>
      </c>
      <c r="K729" s="50">
        <v>94</v>
      </c>
      <c r="L729" s="50">
        <v>6.69</v>
      </c>
      <c r="M729" s="50">
        <v>6.24</v>
      </c>
      <c r="N729" s="50">
        <v>34</v>
      </c>
      <c r="O729" s="50">
        <v>14.9</v>
      </c>
      <c r="P729" s="50">
        <v>11.8</v>
      </c>
      <c r="Q729" s="50">
        <v>35.299999999999997</v>
      </c>
      <c r="R729" s="50">
        <v>36.5</v>
      </c>
      <c r="S729" s="50">
        <v>16.399999999999999</v>
      </c>
      <c r="T729" s="50">
        <v>35</v>
      </c>
      <c r="U729" s="50">
        <v>2.4</v>
      </c>
      <c r="V729" s="50">
        <v>55.6</v>
      </c>
      <c r="W729" s="50">
        <v>48</v>
      </c>
      <c r="X729" s="50">
        <v>482</v>
      </c>
      <c r="Y729" s="50">
        <v>12.05</v>
      </c>
      <c r="Z729" s="50">
        <v>23.3</v>
      </c>
      <c r="AA729" s="50">
        <v>4.3899999999999997</v>
      </c>
      <c r="AB729" s="50"/>
      <c r="AC729" s="50"/>
      <c r="AD729" s="50"/>
      <c r="AE729" s="50"/>
      <c r="AF729" s="50"/>
      <c r="AG729" s="50"/>
      <c r="AH729" s="50"/>
      <c r="AI729" s="50"/>
      <c r="AJ729" s="50"/>
    </row>
    <row r="730" spans="1:36" ht="15" customHeight="1" x14ac:dyDescent="0.25">
      <c r="A730" s="50">
        <v>146</v>
      </c>
      <c r="B730" s="50" t="s">
        <v>926</v>
      </c>
      <c r="C730" s="50" t="s">
        <v>1352</v>
      </c>
      <c r="D730" s="50">
        <v>37</v>
      </c>
      <c r="E730" s="50" t="s">
        <v>1353</v>
      </c>
      <c r="F730" s="50">
        <v>12</v>
      </c>
      <c r="G730" s="50">
        <v>6.6</v>
      </c>
      <c r="H730" s="50">
        <v>43</v>
      </c>
      <c r="I730" s="50">
        <v>2.9</v>
      </c>
      <c r="J730" s="50">
        <v>91</v>
      </c>
      <c r="K730" s="50">
        <v>91</v>
      </c>
      <c r="L730" s="50">
        <v>6.06</v>
      </c>
      <c r="M730" s="50">
        <v>5.54</v>
      </c>
      <c r="N730" s="50">
        <v>31</v>
      </c>
      <c r="O730" s="50">
        <v>14.3</v>
      </c>
      <c r="P730" s="50">
        <v>12.1</v>
      </c>
      <c r="Q730" s="50">
        <v>37.200000000000003</v>
      </c>
      <c r="R730" s="50">
        <v>38.4</v>
      </c>
      <c r="S730" s="50">
        <v>21.7</v>
      </c>
      <c r="T730" s="50">
        <v>38</v>
      </c>
      <c r="U730" s="50">
        <v>2.5299999999999998</v>
      </c>
      <c r="V730" s="50">
        <v>55.2</v>
      </c>
      <c r="W730" s="50">
        <v>51</v>
      </c>
      <c r="X730" s="50">
        <v>493</v>
      </c>
      <c r="Y730" s="50">
        <v>11.13</v>
      </c>
      <c r="Z730" s="50">
        <v>25.5</v>
      </c>
      <c r="AA730" s="50">
        <v>4.58</v>
      </c>
      <c r="AB730" s="50"/>
      <c r="AC730" s="50"/>
      <c r="AD730" s="50"/>
      <c r="AE730" s="50"/>
      <c r="AF730" s="50"/>
      <c r="AG730" s="50"/>
      <c r="AH730" s="50"/>
      <c r="AI730" s="50"/>
      <c r="AJ730" s="50"/>
    </row>
    <row r="731" spans="1:36" ht="15" customHeight="1" x14ac:dyDescent="0.25">
      <c r="A731" s="50">
        <v>146</v>
      </c>
      <c r="B731" s="50" t="s">
        <v>926</v>
      </c>
      <c r="C731" s="50" t="s">
        <v>1352</v>
      </c>
      <c r="D731" s="50">
        <v>37</v>
      </c>
      <c r="E731" s="50" t="s">
        <v>1353</v>
      </c>
      <c r="F731" s="50">
        <v>21</v>
      </c>
      <c r="G731" s="50">
        <v>5.6</v>
      </c>
      <c r="H731" s="50">
        <v>42</v>
      </c>
      <c r="I731" s="50">
        <v>2.7</v>
      </c>
      <c r="J731" s="50">
        <v>98</v>
      </c>
      <c r="K731" s="50">
        <v>85</v>
      </c>
      <c r="L731" s="50">
        <v>5.43</v>
      </c>
      <c r="M731" s="50">
        <v>5.18</v>
      </c>
      <c r="N731" s="50">
        <v>30</v>
      </c>
      <c r="O731" s="50">
        <v>14.2</v>
      </c>
      <c r="P731" s="50">
        <v>10.4</v>
      </c>
      <c r="Q731" s="50">
        <v>33.200000000000003</v>
      </c>
      <c r="R731" s="50">
        <v>43.7</v>
      </c>
      <c r="S731" s="50">
        <v>26</v>
      </c>
      <c r="T731" s="50">
        <v>49</v>
      </c>
      <c r="U731" s="50">
        <v>2.16</v>
      </c>
      <c r="V731" s="50">
        <v>59.7</v>
      </c>
      <c r="W731" s="50">
        <v>60</v>
      </c>
      <c r="X731" s="50">
        <v>495</v>
      </c>
      <c r="Y731" s="50">
        <v>11.1</v>
      </c>
      <c r="Z731" s="50">
        <v>31.5</v>
      </c>
      <c r="AA731" s="50">
        <v>5.18</v>
      </c>
      <c r="AB731" s="50"/>
      <c r="AC731" s="50"/>
      <c r="AD731" s="50"/>
      <c r="AE731" s="50"/>
      <c r="AF731" s="50"/>
      <c r="AG731" s="50"/>
      <c r="AH731" s="50"/>
      <c r="AI731" s="50"/>
      <c r="AJ731" s="50"/>
    </row>
    <row r="732" spans="1:36" ht="15" customHeight="1" x14ac:dyDescent="0.25">
      <c r="A732" s="50">
        <v>147</v>
      </c>
      <c r="B732" s="50" t="s">
        <v>926</v>
      </c>
      <c r="C732" s="50" t="s">
        <v>1352</v>
      </c>
      <c r="D732" s="50">
        <v>35</v>
      </c>
      <c r="E732" s="50" t="s">
        <v>1359</v>
      </c>
      <c r="F732" s="50">
        <v>0</v>
      </c>
      <c r="G732" s="50">
        <v>6.5</v>
      </c>
      <c r="H732" s="50">
        <v>46</v>
      </c>
      <c r="I732" s="50">
        <v>4.5599999999999996</v>
      </c>
      <c r="J732" s="50">
        <v>101</v>
      </c>
      <c r="K732" s="50">
        <v>100</v>
      </c>
      <c r="L732" s="50">
        <v>7.14</v>
      </c>
      <c r="M732" s="50">
        <v>7.64</v>
      </c>
      <c r="N732" s="50">
        <v>43</v>
      </c>
      <c r="O732" s="50">
        <v>12.3</v>
      </c>
      <c r="P732" s="50">
        <v>13.9</v>
      </c>
      <c r="Q732" s="50">
        <v>47.2</v>
      </c>
      <c r="R732" s="50">
        <v>28.2</v>
      </c>
      <c r="S732" s="50">
        <v>13.6</v>
      </c>
      <c r="T732" s="50">
        <v>28</v>
      </c>
      <c r="U732" s="50">
        <v>10.98</v>
      </c>
      <c r="V732" s="50">
        <v>62.2</v>
      </c>
      <c r="W732" s="50">
        <v>52</v>
      </c>
      <c r="X732" s="50">
        <v>320</v>
      </c>
      <c r="Y732" s="50">
        <v>15.46</v>
      </c>
      <c r="Z732" s="50">
        <v>15.7</v>
      </c>
      <c r="AA732" s="50">
        <v>6.46</v>
      </c>
      <c r="AB732" s="50"/>
      <c r="AC732" s="50"/>
      <c r="AD732" s="50"/>
      <c r="AE732" s="50"/>
      <c r="AF732" s="50"/>
      <c r="AG732" s="50"/>
      <c r="AH732" s="50"/>
      <c r="AI732" s="50"/>
      <c r="AJ732" s="50"/>
    </row>
    <row r="733" spans="1:36" ht="15" customHeight="1" x14ac:dyDescent="0.25">
      <c r="A733" s="50">
        <v>147</v>
      </c>
      <c r="B733" s="50" t="s">
        <v>926</v>
      </c>
      <c r="C733" s="50" t="s">
        <v>1352</v>
      </c>
      <c r="D733" s="50">
        <v>35</v>
      </c>
      <c r="E733" s="50" t="s">
        <v>1359</v>
      </c>
      <c r="F733" s="50">
        <v>4</v>
      </c>
      <c r="G733" s="50">
        <v>6</v>
      </c>
      <c r="H733" s="50">
        <v>46</v>
      </c>
      <c r="I733" s="50">
        <v>4.38</v>
      </c>
      <c r="J733" s="50">
        <v>103</v>
      </c>
      <c r="K733" s="50">
        <v>97</v>
      </c>
      <c r="L733" s="50">
        <v>6.54</v>
      </c>
      <c r="M733" s="50">
        <v>7.02</v>
      </c>
      <c r="N733" s="50">
        <v>39</v>
      </c>
      <c r="O733" s="50">
        <v>11.7</v>
      </c>
      <c r="P733" s="50">
        <v>13.5</v>
      </c>
      <c r="Q733" s="50">
        <v>43.8</v>
      </c>
      <c r="R733" s="50">
        <v>32.9</v>
      </c>
      <c r="S733" s="50">
        <v>16.600000000000001</v>
      </c>
      <c r="T733" s="50">
        <v>33</v>
      </c>
      <c r="U733" s="50">
        <v>9.1300000000000008</v>
      </c>
      <c r="V733" s="50">
        <v>65.7</v>
      </c>
      <c r="W733" s="50">
        <v>54</v>
      </c>
      <c r="X733" s="50">
        <v>336</v>
      </c>
      <c r="Y733" s="50">
        <v>14.93</v>
      </c>
      <c r="Z733" s="50">
        <v>18.3</v>
      </c>
      <c r="AA733" s="50">
        <v>6.27</v>
      </c>
      <c r="AB733" s="50"/>
      <c r="AC733" s="50"/>
      <c r="AD733" s="50"/>
      <c r="AE733" s="50"/>
      <c r="AF733" s="50"/>
      <c r="AG733" s="50"/>
      <c r="AH733" s="50"/>
      <c r="AI733" s="50"/>
      <c r="AJ733" s="50"/>
    </row>
    <row r="734" spans="1:36" ht="15" customHeight="1" x14ac:dyDescent="0.25">
      <c r="A734" s="50">
        <v>147</v>
      </c>
      <c r="B734" s="50" t="s">
        <v>926</v>
      </c>
      <c r="C734" s="50" t="s">
        <v>1352</v>
      </c>
      <c r="D734" s="50">
        <v>35</v>
      </c>
      <c r="E734" s="50" t="s">
        <v>1359</v>
      </c>
      <c r="F734" s="50">
        <v>8</v>
      </c>
      <c r="G734" s="50">
        <v>5.3</v>
      </c>
      <c r="H734" s="50">
        <v>45</v>
      </c>
      <c r="I734" s="50">
        <v>4.21</v>
      </c>
      <c r="J734" s="50">
        <v>103</v>
      </c>
      <c r="K734" s="50">
        <v>94</v>
      </c>
      <c r="L734" s="50">
        <v>5.85</v>
      </c>
      <c r="M734" s="50">
        <v>6.49</v>
      </c>
      <c r="N734" s="50">
        <v>36</v>
      </c>
      <c r="O734" s="50">
        <v>10.8</v>
      </c>
      <c r="P734" s="50">
        <v>13.1</v>
      </c>
      <c r="Q734" s="50">
        <v>38.9</v>
      </c>
      <c r="R734" s="50">
        <v>40</v>
      </c>
      <c r="S734" s="50">
        <v>18.2</v>
      </c>
      <c r="T734" s="50">
        <v>39</v>
      </c>
      <c r="U734" s="50">
        <v>8.02</v>
      </c>
      <c r="V734" s="50">
        <v>64.400000000000006</v>
      </c>
      <c r="W734" s="50">
        <v>56</v>
      </c>
      <c r="X734" s="50">
        <v>358</v>
      </c>
      <c r="Y734" s="50">
        <v>14.07</v>
      </c>
      <c r="Z734" s="50">
        <v>19.7</v>
      </c>
      <c r="AA734" s="50">
        <v>6.56</v>
      </c>
      <c r="AB734" s="50"/>
      <c r="AC734" s="50"/>
      <c r="AD734" s="50"/>
      <c r="AE734" s="50"/>
      <c r="AF734" s="50"/>
      <c r="AG734" s="50"/>
      <c r="AH734" s="50"/>
      <c r="AI734" s="50"/>
      <c r="AJ734" s="50"/>
    </row>
    <row r="735" spans="1:36" ht="15" customHeight="1" x14ac:dyDescent="0.25">
      <c r="A735" s="50">
        <v>147</v>
      </c>
      <c r="B735" s="50" t="s">
        <v>926</v>
      </c>
      <c r="C735" s="50" t="s">
        <v>1352</v>
      </c>
      <c r="D735" s="50">
        <v>35</v>
      </c>
      <c r="E735" s="50" t="s">
        <v>1359</v>
      </c>
      <c r="F735" s="50">
        <v>12</v>
      </c>
      <c r="G735" s="50">
        <v>5.4</v>
      </c>
      <c r="H735" s="50">
        <v>43</v>
      </c>
      <c r="I735" s="50">
        <v>4.12</v>
      </c>
      <c r="J735" s="50">
        <v>105</v>
      </c>
      <c r="K735" s="50">
        <v>91</v>
      </c>
      <c r="L735" s="50">
        <v>5.89</v>
      </c>
      <c r="M735" s="50">
        <v>6.44</v>
      </c>
      <c r="N735" s="50">
        <v>40</v>
      </c>
      <c r="O735" s="50">
        <v>11.3</v>
      </c>
      <c r="P735" s="50">
        <v>12.8</v>
      </c>
      <c r="Q735" s="50">
        <v>44.6</v>
      </c>
      <c r="R735" s="50">
        <v>37.1</v>
      </c>
      <c r="S735" s="50">
        <v>18.8</v>
      </c>
      <c r="T735" s="50">
        <v>37</v>
      </c>
      <c r="U735" s="50">
        <v>8.61</v>
      </c>
      <c r="V735" s="50">
        <v>64.7</v>
      </c>
      <c r="W735" s="50">
        <v>58</v>
      </c>
      <c r="X735" s="50">
        <v>362</v>
      </c>
      <c r="Y735" s="50">
        <v>13.39</v>
      </c>
      <c r="Z735" s="50">
        <v>20.9</v>
      </c>
      <c r="AA735" s="50">
        <v>6.77</v>
      </c>
      <c r="AB735" s="50"/>
      <c r="AC735" s="50"/>
      <c r="AD735" s="50"/>
      <c r="AE735" s="50"/>
      <c r="AF735" s="50"/>
      <c r="AG735" s="50"/>
      <c r="AH735" s="50"/>
      <c r="AI735" s="50"/>
      <c r="AJ735" s="50"/>
    </row>
    <row r="736" spans="1:36" ht="15" customHeight="1" x14ac:dyDescent="0.25">
      <c r="A736" s="50">
        <v>147</v>
      </c>
      <c r="B736" s="50" t="s">
        <v>926</v>
      </c>
      <c r="C736" s="50" t="s">
        <v>1352</v>
      </c>
      <c r="D736" s="50">
        <v>35</v>
      </c>
      <c r="E736" s="50" t="s">
        <v>1359</v>
      </c>
      <c r="F736" s="50">
        <v>21</v>
      </c>
      <c r="G736" s="50">
        <v>4.7</v>
      </c>
      <c r="H736" s="50">
        <v>42</v>
      </c>
      <c r="I736" s="50">
        <v>3.79</v>
      </c>
      <c r="J736" s="50">
        <v>109</v>
      </c>
      <c r="K736" s="50">
        <v>85</v>
      </c>
      <c r="L736" s="50">
        <v>5.14</v>
      </c>
      <c r="M736" s="50">
        <v>5.57</v>
      </c>
      <c r="N736" s="50">
        <v>38</v>
      </c>
      <c r="O736" s="50">
        <v>10.9</v>
      </c>
      <c r="P736" s="50">
        <v>12.5</v>
      </c>
      <c r="Q736" s="50">
        <v>35.299999999999997</v>
      </c>
      <c r="R736" s="50">
        <v>40.799999999999997</v>
      </c>
      <c r="S736" s="50">
        <v>24.5</v>
      </c>
      <c r="T736" s="50">
        <v>46</v>
      </c>
      <c r="U736" s="50">
        <v>8.0399999999999991</v>
      </c>
      <c r="V736" s="50">
        <v>66.400000000000006</v>
      </c>
      <c r="W736" s="50">
        <v>62</v>
      </c>
      <c r="X736" s="50">
        <v>374</v>
      </c>
      <c r="Y736" s="50">
        <v>12.21</v>
      </c>
      <c r="Z736" s="50">
        <v>24.6</v>
      </c>
      <c r="AA736" s="50">
        <v>6.73</v>
      </c>
      <c r="AB736" s="50"/>
      <c r="AC736" s="50"/>
      <c r="AD736" s="50"/>
      <c r="AE736" s="50"/>
      <c r="AF736" s="50"/>
      <c r="AG736" s="50"/>
      <c r="AH736" s="50"/>
      <c r="AI736" s="50"/>
      <c r="AJ736" s="50"/>
    </row>
    <row r="737" spans="1:36" ht="15" customHeight="1" x14ac:dyDescent="0.25">
      <c r="A737" s="50">
        <v>148</v>
      </c>
      <c r="B737" s="50" t="s">
        <v>926</v>
      </c>
      <c r="C737" s="50" t="s">
        <v>1352</v>
      </c>
      <c r="D737" s="50">
        <v>55</v>
      </c>
      <c r="E737" s="50" t="s">
        <v>1359</v>
      </c>
      <c r="F737" s="50">
        <v>0</v>
      </c>
      <c r="G737" s="50">
        <v>6.8</v>
      </c>
      <c r="H737" s="50">
        <v>41</v>
      </c>
      <c r="I737" s="50">
        <v>4.04</v>
      </c>
      <c r="J737" s="50">
        <v>81</v>
      </c>
      <c r="K737" s="50">
        <v>100</v>
      </c>
      <c r="L737" s="50">
        <v>7.19</v>
      </c>
      <c r="M737" s="50">
        <v>7.13</v>
      </c>
      <c r="N737" s="50">
        <v>41</v>
      </c>
      <c r="O737" s="50">
        <v>10.199999999999999</v>
      </c>
      <c r="P737" s="50">
        <v>7.5</v>
      </c>
      <c r="Q737" s="50">
        <v>45.5</v>
      </c>
      <c r="R737" s="50">
        <v>34.299999999999997</v>
      </c>
      <c r="S737" s="50">
        <v>16.899999999999999</v>
      </c>
      <c r="T737" s="50">
        <v>40</v>
      </c>
      <c r="U737" s="50">
        <v>13.49</v>
      </c>
      <c r="V737" s="50">
        <v>64.099999999999994</v>
      </c>
      <c r="W737" s="50">
        <v>46</v>
      </c>
      <c r="X737" s="50">
        <v>352</v>
      </c>
      <c r="Y737" s="50">
        <v>9.39</v>
      </c>
      <c r="Z737" s="50">
        <v>27.9</v>
      </c>
      <c r="AA737" s="50">
        <v>5.9</v>
      </c>
      <c r="AB737" s="50"/>
      <c r="AC737" s="50"/>
      <c r="AD737" s="50"/>
      <c r="AE737" s="50"/>
      <c r="AF737" s="50"/>
      <c r="AG737" s="50"/>
      <c r="AH737" s="50"/>
      <c r="AI737" s="50"/>
      <c r="AJ737" s="50"/>
    </row>
    <row r="738" spans="1:36" ht="15" customHeight="1" x14ac:dyDescent="0.25">
      <c r="A738" s="50">
        <v>148</v>
      </c>
      <c r="B738" s="50" t="s">
        <v>926</v>
      </c>
      <c r="C738" s="50" t="s">
        <v>1352</v>
      </c>
      <c r="D738" s="50">
        <v>55</v>
      </c>
      <c r="E738" s="50" t="s">
        <v>1359</v>
      </c>
      <c r="F738" s="50">
        <v>4</v>
      </c>
      <c r="G738" s="50">
        <v>6.3</v>
      </c>
      <c r="H738" s="50">
        <v>38</v>
      </c>
      <c r="I738" s="50">
        <v>3.85</v>
      </c>
      <c r="J738" s="50">
        <v>85</v>
      </c>
      <c r="K738" s="50">
        <v>97</v>
      </c>
      <c r="L738" s="50">
        <v>6.8</v>
      </c>
      <c r="M738" s="50">
        <v>6.53</v>
      </c>
      <c r="N738" s="50">
        <v>40</v>
      </c>
      <c r="O738" s="50">
        <v>10.199999999999999</v>
      </c>
      <c r="P738" s="50">
        <v>7.8</v>
      </c>
      <c r="Q738" s="50">
        <v>40.9</v>
      </c>
      <c r="R738" s="50">
        <v>36.9</v>
      </c>
      <c r="S738" s="50">
        <v>18.5</v>
      </c>
      <c r="T738" s="50">
        <v>41</v>
      </c>
      <c r="U738" s="50">
        <v>12.33</v>
      </c>
      <c r="V738" s="50">
        <v>64.099999999999994</v>
      </c>
      <c r="W738" s="50">
        <v>47</v>
      </c>
      <c r="X738" s="50">
        <v>362</v>
      </c>
      <c r="Y738" s="50">
        <v>8.8699999999999992</v>
      </c>
      <c r="Z738" s="50">
        <v>29.1</v>
      </c>
      <c r="AA738" s="50">
        <v>5.81</v>
      </c>
      <c r="AB738" s="50"/>
      <c r="AC738" s="50"/>
      <c r="AD738" s="50"/>
      <c r="AE738" s="50"/>
      <c r="AF738" s="50"/>
      <c r="AG738" s="50"/>
      <c r="AH738" s="50"/>
      <c r="AI738" s="50"/>
      <c r="AJ738" s="50"/>
    </row>
    <row r="739" spans="1:36" ht="15" customHeight="1" x14ac:dyDescent="0.25">
      <c r="A739" s="50">
        <v>148</v>
      </c>
      <c r="B739" s="50" t="s">
        <v>926</v>
      </c>
      <c r="C739" s="50" t="s">
        <v>1352</v>
      </c>
      <c r="D739" s="50">
        <v>55</v>
      </c>
      <c r="E739" s="50" t="s">
        <v>1359</v>
      </c>
      <c r="F739" s="50">
        <v>8</v>
      </c>
      <c r="G739" s="50">
        <v>6.1</v>
      </c>
      <c r="H739" s="50">
        <v>37</v>
      </c>
      <c r="I739" s="50">
        <v>3.74</v>
      </c>
      <c r="J739" s="50">
        <v>86</v>
      </c>
      <c r="K739" s="50">
        <v>94</v>
      </c>
      <c r="L739" s="50">
        <v>6.59</v>
      </c>
      <c r="M739" s="50">
        <v>6.45</v>
      </c>
      <c r="N739" s="50">
        <v>39</v>
      </c>
      <c r="O739" s="50">
        <v>10</v>
      </c>
      <c r="P739" s="50">
        <v>8.3000000000000007</v>
      </c>
      <c r="Q739" s="50">
        <v>39.1</v>
      </c>
      <c r="R739" s="50">
        <v>40.1</v>
      </c>
      <c r="S739" s="50">
        <v>22.5</v>
      </c>
      <c r="T739" s="50">
        <v>44</v>
      </c>
      <c r="U739" s="50">
        <v>12.31</v>
      </c>
      <c r="V739" s="50">
        <v>65.5</v>
      </c>
      <c r="W739" s="50">
        <v>49</v>
      </c>
      <c r="X739" s="50">
        <v>376</v>
      </c>
      <c r="Y739" s="50">
        <v>9.2899999999999991</v>
      </c>
      <c r="Z739" s="50">
        <v>31.1</v>
      </c>
      <c r="AA739" s="50">
        <v>5.85</v>
      </c>
      <c r="AB739" s="50"/>
      <c r="AC739" s="50"/>
      <c r="AD739" s="50"/>
      <c r="AE739" s="50"/>
      <c r="AF739" s="50"/>
      <c r="AG739" s="50"/>
      <c r="AH739" s="50"/>
      <c r="AI739" s="50"/>
      <c r="AJ739" s="50"/>
    </row>
    <row r="740" spans="1:36" ht="15" customHeight="1" x14ac:dyDescent="0.25">
      <c r="A740" s="50">
        <v>148</v>
      </c>
      <c r="B740" s="50" t="s">
        <v>926</v>
      </c>
      <c r="C740" s="50" t="s">
        <v>1352</v>
      </c>
      <c r="D740" s="50">
        <v>55</v>
      </c>
      <c r="E740" s="50" t="s">
        <v>1359</v>
      </c>
      <c r="F740" s="50">
        <v>12</v>
      </c>
      <c r="G740" s="50">
        <v>5.4</v>
      </c>
      <c r="H740" s="50">
        <v>38</v>
      </c>
      <c r="I740" s="50">
        <v>3.61</v>
      </c>
      <c r="J740" s="50">
        <v>87</v>
      </c>
      <c r="K740" s="50">
        <v>91</v>
      </c>
      <c r="L740" s="50">
        <v>5.99</v>
      </c>
      <c r="M740" s="50">
        <v>6.11</v>
      </c>
      <c r="N740" s="50">
        <v>37</v>
      </c>
      <c r="O740" s="50">
        <v>8.6999999999999993</v>
      </c>
      <c r="P740" s="50">
        <v>8.1</v>
      </c>
      <c r="Q740" s="50">
        <v>37.9</v>
      </c>
      <c r="R740" s="50">
        <v>42.4</v>
      </c>
      <c r="S740" s="50">
        <v>24.5</v>
      </c>
      <c r="T740" s="50">
        <v>48</v>
      </c>
      <c r="U740" s="50">
        <v>11.49</v>
      </c>
      <c r="V740" s="50">
        <v>65.3</v>
      </c>
      <c r="W740" s="50">
        <v>53</v>
      </c>
      <c r="X740" s="50">
        <v>405</v>
      </c>
      <c r="Y740" s="50">
        <v>9.5299999999999994</v>
      </c>
      <c r="Z740" s="50">
        <v>33.5</v>
      </c>
      <c r="AA740" s="50">
        <v>6.4</v>
      </c>
      <c r="AB740" s="50"/>
      <c r="AC740" s="50"/>
      <c r="AD740" s="50"/>
      <c r="AE740" s="50"/>
      <c r="AF740" s="50"/>
      <c r="AG740" s="50"/>
      <c r="AH740" s="50"/>
      <c r="AI740" s="50"/>
      <c r="AJ740" s="50"/>
    </row>
    <row r="741" spans="1:36" ht="15" customHeight="1" x14ac:dyDescent="0.25">
      <c r="A741" s="50">
        <v>148</v>
      </c>
      <c r="B741" s="50" t="s">
        <v>926</v>
      </c>
      <c r="C741" s="50" t="s">
        <v>1352</v>
      </c>
      <c r="D741" s="50">
        <v>55</v>
      </c>
      <c r="E741" s="50" t="s">
        <v>1359</v>
      </c>
      <c r="F741" s="50">
        <v>21</v>
      </c>
      <c r="G741" s="50">
        <v>4.8</v>
      </c>
      <c r="H741" s="50">
        <v>34</v>
      </c>
      <c r="I741" s="50">
        <v>3.39</v>
      </c>
      <c r="J741" s="50">
        <v>92</v>
      </c>
      <c r="K741" s="50">
        <v>85</v>
      </c>
      <c r="L741" s="50">
        <v>5.29</v>
      </c>
      <c r="M741" s="50">
        <v>5.29</v>
      </c>
      <c r="N741" s="50">
        <v>30</v>
      </c>
      <c r="O741" s="50">
        <v>9.6999999999999993</v>
      </c>
      <c r="P741" s="50">
        <v>8</v>
      </c>
      <c r="Q741" s="50">
        <v>34.6</v>
      </c>
      <c r="R741" s="50">
        <v>45.6</v>
      </c>
      <c r="S741" s="50">
        <v>26.5</v>
      </c>
      <c r="T741" s="50">
        <v>52</v>
      </c>
      <c r="U741" s="50">
        <v>9.86</v>
      </c>
      <c r="V741" s="50">
        <v>66</v>
      </c>
      <c r="W741" s="50">
        <v>59</v>
      </c>
      <c r="X741" s="50">
        <v>437</v>
      </c>
      <c r="Y741" s="50">
        <v>9.2899999999999991</v>
      </c>
      <c r="Z741" s="50">
        <v>34.6</v>
      </c>
      <c r="AA741" s="50">
        <v>6.2</v>
      </c>
      <c r="AB741" s="50"/>
      <c r="AC741" s="50"/>
      <c r="AD741" s="50"/>
      <c r="AE741" s="50"/>
      <c r="AF741" s="50"/>
      <c r="AG741" s="50"/>
      <c r="AH741" s="50"/>
      <c r="AI741" s="50"/>
      <c r="AJ741" s="50"/>
    </row>
    <row r="742" spans="1:36" ht="15" customHeight="1" x14ac:dyDescent="0.25">
      <c r="A742" s="50">
        <v>149</v>
      </c>
      <c r="B742" s="50" t="s">
        <v>926</v>
      </c>
      <c r="C742" s="50" t="s">
        <v>1352</v>
      </c>
      <c r="D742" s="50">
        <v>43</v>
      </c>
      <c r="E742" s="50" t="s">
        <v>1359</v>
      </c>
      <c r="F742" s="50">
        <v>0</v>
      </c>
      <c r="G742" s="50">
        <v>6.9</v>
      </c>
      <c r="H742" s="50">
        <v>59</v>
      </c>
      <c r="I742" s="50">
        <v>4.29</v>
      </c>
      <c r="J742" s="50">
        <v>84</v>
      </c>
      <c r="K742" s="50">
        <v>100</v>
      </c>
      <c r="L742" s="50">
        <v>7.22</v>
      </c>
      <c r="M742" s="50">
        <v>7.04</v>
      </c>
      <c r="N742" s="50">
        <v>62</v>
      </c>
      <c r="O742" s="50">
        <v>14</v>
      </c>
      <c r="P742" s="50">
        <v>8.1</v>
      </c>
      <c r="Q742" s="50">
        <v>53.5</v>
      </c>
      <c r="R742" s="50">
        <v>28.3</v>
      </c>
      <c r="S742" s="50">
        <v>29.3</v>
      </c>
      <c r="T742" s="50">
        <v>28</v>
      </c>
      <c r="U742" s="50">
        <v>9.0299999999999994</v>
      </c>
      <c r="V742" s="50">
        <v>61.6</v>
      </c>
      <c r="W742" s="50">
        <v>41</v>
      </c>
      <c r="X742" s="50">
        <v>381</v>
      </c>
      <c r="Y742" s="50">
        <v>17.940000000000001</v>
      </c>
      <c r="Z742" s="50">
        <v>20.3</v>
      </c>
      <c r="AA742" s="50">
        <v>5.51</v>
      </c>
      <c r="AB742" s="50"/>
      <c r="AC742" s="50"/>
      <c r="AD742" s="50"/>
      <c r="AE742" s="50"/>
      <c r="AF742" s="50"/>
      <c r="AG742" s="50"/>
      <c r="AH742" s="50"/>
      <c r="AI742" s="50"/>
      <c r="AJ742" s="50"/>
    </row>
    <row r="743" spans="1:36" ht="15" customHeight="1" x14ac:dyDescent="0.25">
      <c r="A743" s="50">
        <v>149</v>
      </c>
      <c r="B743" s="50" t="s">
        <v>926</v>
      </c>
      <c r="C743" s="50" t="s">
        <v>1352</v>
      </c>
      <c r="D743" s="50">
        <v>43</v>
      </c>
      <c r="E743" s="50" t="s">
        <v>1359</v>
      </c>
      <c r="F743" s="50">
        <v>4</v>
      </c>
      <c r="G743" s="50">
        <v>6.6</v>
      </c>
      <c r="H743" s="50">
        <v>59</v>
      </c>
      <c r="I743" s="50">
        <v>4.21</v>
      </c>
      <c r="J743" s="50">
        <v>88</v>
      </c>
      <c r="K743" s="50">
        <v>97</v>
      </c>
      <c r="L743" s="50">
        <v>6.93</v>
      </c>
      <c r="M743" s="50">
        <v>6.86</v>
      </c>
      <c r="N743" s="50">
        <v>61</v>
      </c>
      <c r="O743" s="50">
        <v>14</v>
      </c>
      <c r="P743" s="50">
        <v>8.6</v>
      </c>
      <c r="Q743" s="50">
        <v>51.1</v>
      </c>
      <c r="R743" s="50">
        <v>29</v>
      </c>
      <c r="S743" s="50">
        <v>31</v>
      </c>
      <c r="T743" s="50">
        <v>34</v>
      </c>
      <c r="U743" s="50">
        <v>8.4499999999999993</v>
      </c>
      <c r="V743" s="50">
        <v>60.9</v>
      </c>
      <c r="W743" s="50">
        <v>45</v>
      </c>
      <c r="X743" s="50">
        <v>392</v>
      </c>
      <c r="Y743" s="50">
        <v>17.52</v>
      </c>
      <c r="Z743" s="50">
        <v>20.399999999999999</v>
      </c>
      <c r="AA743" s="50">
        <v>5.41</v>
      </c>
      <c r="AB743" s="50"/>
      <c r="AC743" s="50"/>
      <c r="AD743" s="50"/>
      <c r="AE743" s="50"/>
      <c r="AF743" s="50"/>
      <c r="AG743" s="50"/>
      <c r="AH743" s="50"/>
      <c r="AI743" s="50"/>
      <c r="AJ743" s="50"/>
    </row>
    <row r="744" spans="1:36" ht="15" customHeight="1" x14ac:dyDescent="0.25">
      <c r="A744" s="50">
        <v>149</v>
      </c>
      <c r="B744" s="50" t="s">
        <v>926</v>
      </c>
      <c r="C744" s="50" t="s">
        <v>1352</v>
      </c>
      <c r="D744" s="50">
        <v>43</v>
      </c>
      <c r="E744" s="50" t="s">
        <v>1359</v>
      </c>
      <c r="F744" s="50">
        <v>8</v>
      </c>
      <c r="G744" s="50">
        <v>6.1</v>
      </c>
      <c r="H744" s="50">
        <v>61</v>
      </c>
      <c r="I744" s="50">
        <v>4.1500000000000004</v>
      </c>
      <c r="J744" s="50">
        <v>90</v>
      </c>
      <c r="K744" s="50">
        <v>94</v>
      </c>
      <c r="L744" s="50">
        <v>6.36</v>
      </c>
      <c r="M744" s="50">
        <v>6.44</v>
      </c>
      <c r="N744" s="50">
        <v>56</v>
      </c>
      <c r="O744" s="50">
        <v>13.2</v>
      </c>
      <c r="P744" s="50">
        <v>8.5</v>
      </c>
      <c r="Q744" s="50">
        <v>47.1</v>
      </c>
      <c r="R744" s="50">
        <v>33.700000000000003</v>
      </c>
      <c r="S744" s="50">
        <v>32</v>
      </c>
      <c r="T744" s="50">
        <v>31</v>
      </c>
      <c r="U744" s="50">
        <v>8.9600000000000009</v>
      </c>
      <c r="V744" s="50">
        <v>62.5</v>
      </c>
      <c r="W744" s="50">
        <v>50</v>
      </c>
      <c r="X744" s="50">
        <v>385</v>
      </c>
      <c r="Y744" s="50">
        <v>16.47</v>
      </c>
      <c r="Z744" s="50">
        <v>23.9</v>
      </c>
      <c r="AA744" s="50">
        <v>5.7</v>
      </c>
      <c r="AB744" s="50"/>
      <c r="AC744" s="50"/>
      <c r="AD744" s="50"/>
      <c r="AE744" s="50"/>
      <c r="AF744" s="50"/>
      <c r="AG744" s="50"/>
      <c r="AH744" s="50"/>
      <c r="AI744" s="50"/>
      <c r="AJ744" s="50"/>
    </row>
    <row r="745" spans="1:36" ht="15" customHeight="1" x14ac:dyDescent="0.25">
      <c r="A745" s="50">
        <v>149</v>
      </c>
      <c r="B745" s="50" t="s">
        <v>926</v>
      </c>
      <c r="C745" s="50" t="s">
        <v>1352</v>
      </c>
      <c r="D745" s="50">
        <v>43</v>
      </c>
      <c r="E745" s="50" t="s">
        <v>1359</v>
      </c>
      <c r="F745" s="50">
        <v>12</v>
      </c>
      <c r="G745" s="50">
        <v>5.7</v>
      </c>
      <c r="H745" s="50">
        <v>57</v>
      </c>
      <c r="I745" s="50">
        <v>3.94</v>
      </c>
      <c r="J745" s="50">
        <v>96</v>
      </c>
      <c r="K745" s="50">
        <v>91</v>
      </c>
      <c r="L745" s="50">
        <v>5.81</v>
      </c>
      <c r="M745" s="50">
        <v>6.07</v>
      </c>
      <c r="N745" s="50">
        <v>54</v>
      </c>
      <c r="O745" s="50">
        <v>12.7</v>
      </c>
      <c r="P745" s="50">
        <v>9.1</v>
      </c>
      <c r="Q745" s="50">
        <v>42.5</v>
      </c>
      <c r="R745" s="50">
        <v>40.200000000000003</v>
      </c>
      <c r="S745" s="50">
        <v>32.5</v>
      </c>
      <c r="T745" s="50">
        <v>39</v>
      </c>
      <c r="U745" s="50">
        <v>8.48</v>
      </c>
      <c r="V745" s="50">
        <v>62.5</v>
      </c>
      <c r="W745" s="50">
        <v>49</v>
      </c>
      <c r="X745" s="50">
        <v>412</v>
      </c>
      <c r="Y745" s="50">
        <v>15.77</v>
      </c>
      <c r="Z745" s="50">
        <v>24.5</v>
      </c>
      <c r="AA745" s="50">
        <v>5.96</v>
      </c>
      <c r="AB745" s="50"/>
      <c r="AC745" s="50"/>
      <c r="AD745" s="50"/>
      <c r="AE745" s="50"/>
      <c r="AF745" s="50"/>
      <c r="AG745" s="50"/>
      <c r="AH745" s="50"/>
      <c r="AI745" s="50"/>
      <c r="AJ745" s="50"/>
    </row>
    <row r="746" spans="1:36" ht="15" customHeight="1" x14ac:dyDescent="0.25">
      <c r="A746" s="50">
        <v>149</v>
      </c>
      <c r="B746" s="50" t="s">
        <v>926</v>
      </c>
      <c r="C746" s="50" t="s">
        <v>1352</v>
      </c>
      <c r="D746" s="50">
        <v>43</v>
      </c>
      <c r="E746" s="50" t="s">
        <v>1359</v>
      </c>
      <c r="F746" s="50">
        <v>21</v>
      </c>
      <c r="G746" s="50">
        <v>5</v>
      </c>
      <c r="H746" s="50">
        <v>57</v>
      </c>
      <c r="I746" s="50">
        <v>3.59</v>
      </c>
      <c r="J746" s="50">
        <v>95</v>
      </c>
      <c r="K746" s="50">
        <v>85</v>
      </c>
      <c r="L746" s="50">
        <v>5.32</v>
      </c>
      <c r="M746" s="50">
        <v>5.28</v>
      </c>
      <c r="N746" s="50">
        <v>48</v>
      </c>
      <c r="O746" s="50">
        <v>13.2</v>
      </c>
      <c r="P746" s="50">
        <v>8.5</v>
      </c>
      <c r="Q746" s="50">
        <v>39.5</v>
      </c>
      <c r="R746" s="50">
        <v>45.8</v>
      </c>
      <c r="S746" s="50">
        <v>31.7</v>
      </c>
      <c r="T746" s="50">
        <v>40</v>
      </c>
      <c r="U746" s="50">
        <v>7.4</v>
      </c>
      <c r="V746" s="50">
        <v>65.599999999999994</v>
      </c>
      <c r="W746" s="50">
        <v>57</v>
      </c>
      <c r="X746" s="50">
        <v>436</v>
      </c>
      <c r="Y746" s="50">
        <v>14.78</v>
      </c>
      <c r="Z746" s="50">
        <v>29.4</v>
      </c>
      <c r="AA746" s="50">
        <v>6.06</v>
      </c>
      <c r="AB746" s="50"/>
      <c r="AC746" s="50"/>
      <c r="AD746" s="50"/>
      <c r="AE746" s="50"/>
      <c r="AF746" s="50"/>
      <c r="AG746" s="50"/>
      <c r="AH746" s="50"/>
      <c r="AI746" s="50"/>
      <c r="AJ746" s="50"/>
    </row>
    <row r="747" spans="1:36" ht="15" customHeight="1" x14ac:dyDescent="0.25">
      <c r="A747" s="50">
        <v>150</v>
      </c>
      <c r="B747" s="50" t="s">
        <v>926</v>
      </c>
      <c r="C747" s="50" t="s">
        <v>1357</v>
      </c>
      <c r="D747" s="50">
        <v>43</v>
      </c>
      <c r="E747" s="50" t="s">
        <v>1353</v>
      </c>
      <c r="F747" s="50">
        <v>0</v>
      </c>
      <c r="G747" s="50">
        <v>7.9</v>
      </c>
      <c r="H747" s="50">
        <v>49</v>
      </c>
      <c r="I747" s="50">
        <v>3.29</v>
      </c>
      <c r="J747" s="50">
        <v>110</v>
      </c>
      <c r="K747" s="50">
        <v>100</v>
      </c>
      <c r="L747" s="50">
        <v>7.14</v>
      </c>
      <c r="M747" s="50">
        <v>6.07</v>
      </c>
      <c r="N747" s="50">
        <v>57</v>
      </c>
      <c r="O747" s="50">
        <v>10.6</v>
      </c>
      <c r="P747" s="50">
        <v>14.8</v>
      </c>
      <c r="Q747" s="50">
        <v>52.6</v>
      </c>
      <c r="R747" s="50">
        <v>33.4</v>
      </c>
      <c r="S747" s="50">
        <v>22.7</v>
      </c>
      <c r="T747" s="50">
        <v>42</v>
      </c>
      <c r="U747" s="50">
        <v>4.74</v>
      </c>
      <c r="V747" s="50">
        <v>57.1</v>
      </c>
      <c r="W747" s="50">
        <v>43</v>
      </c>
      <c r="X747" s="50">
        <v>426</v>
      </c>
      <c r="Y747" s="50">
        <v>16.86</v>
      </c>
      <c r="Z747" s="50">
        <v>28.6</v>
      </c>
      <c r="AA747" s="50">
        <v>5.81</v>
      </c>
      <c r="AB747" s="50"/>
      <c r="AC747" s="50"/>
      <c r="AD747" s="50"/>
      <c r="AE747" s="50"/>
      <c r="AF747" s="50"/>
      <c r="AG747" s="50"/>
      <c r="AH747" s="50"/>
      <c r="AI747" s="50"/>
      <c r="AJ747" s="50"/>
    </row>
    <row r="748" spans="1:36" ht="15" customHeight="1" x14ac:dyDescent="0.25">
      <c r="A748" s="50">
        <v>150</v>
      </c>
      <c r="B748" s="50" t="s">
        <v>926</v>
      </c>
      <c r="C748" s="50" t="s">
        <v>1357</v>
      </c>
      <c r="D748" s="50">
        <v>43</v>
      </c>
      <c r="E748" s="50" t="s">
        <v>1353</v>
      </c>
      <c r="F748" s="50">
        <v>4</v>
      </c>
      <c r="G748" s="50">
        <v>7.3</v>
      </c>
      <c r="H748" s="50">
        <v>49</v>
      </c>
      <c r="I748" s="50">
        <v>3.18</v>
      </c>
      <c r="J748" s="50">
        <v>114</v>
      </c>
      <c r="K748" s="50">
        <v>97</v>
      </c>
      <c r="L748" s="50">
        <v>6.8</v>
      </c>
      <c r="M748" s="50">
        <v>5.59</v>
      </c>
      <c r="N748" s="50">
        <v>54</v>
      </c>
      <c r="O748" s="50">
        <v>9.9</v>
      </c>
      <c r="P748" s="50">
        <v>13.9</v>
      </c>
      <c r="Q748" s="50">
        <v>49.7</v>
      </c>
      <c r="R748" s="50">
        <v>37.200000000000003</v>
      </c>
      <c r="S748" s="50">
        <v>26.5</v>
      </c>
      <c r="T748" s="50">
        <v>44</v>
      </c>
      <c r="U748" s="50">
        <v>4.9000000000000004</v>
      </c>
      <c r="V748" s="50">
        <v>60.2</v>
      </c>
      <c r="W748" s="50">
        <v>43</v>
      </c>
      <c r="X748" s="50">
        <v>432</v>
      </c>
      <c r="Y748" s="50">
        <v>16.43</v>
      </c>
      <c r="Z748" s="50">
        <v>27.4</v>
      </c>
      <c r="AA748" s="50">
        <v>5.51</v>
      </c>
      <c r="AB748" s="50"/>
      <c r="AC748" s="50"/>
      <c r="AD748" s="50"/>
      <c r="AE748" s="50"/>
      <c r="AF748" s="50"/>
      <c r="AG748" s="50"/>
      <c r="AH748" s="50"/>
      <c r="AI748" s="50"/>
      <c r="AJ748" s="50"/>
    </row>
    <row r="749" spans="1:36" ht="15" customHeight="1" x14ac:dyDescent="0.25">
      <c r="A749" s="50">
        <v>150</v>
      </c>
      <c r="B749" s="50" t="s">
        <v>926</v>
      </c>
      <c r="C749" s="50" t="s">
        <v>1357</v>
      </c>
      <c r="D749" s="50">
        <v>43</v>
      </c>
      <c r="E749" s="50" t="s">
        <v>1353</v>
      </c>
      <c r="F749" s="50">
        <v>8</v>
      </c>
      <c r="G749" s="50">
        <v>6.9</v>
      </c>
      <c r="H749" s="50">
        <v>48</v>
      </c>
      <c r="I749" s="50">
        <v>3.04</v>
      </c>
      <c r="J749" s="50">
        <v>114</v>
      </c>
      <c r="K749" s="50">
        <v>94</v>
      </c>
      <c r="L749" s="50">
        <v>6.5</v>
      </c>
      <c r="M749" s="50">
        <v>5.67</v>
      </c>
      <c r="N749" s="50">
        <v>51</v>
      </c>
      <c r="O749" s="50">
        <v>10.199999999999999</v>
      </c>
      <c r="P749" s="50">
        <v>14</v>
      </c>
      <c r="Q749" s="50">
        <v>48.1</v>
      </c>
      <c r="R749" s="50">
        <v>40.700000000000003</v>
      </c>
      <c r="S749" s="50">
        <v>26.6</v>
      </c>
      <c r="T749" s="50">
        <v>49</v>
      </c>
      <c r="U749" s="50">
        <v>3.72</v>
      </c>
      <c r="V749" s="50">
        <v>59.8</v>
      </c>
      <c r="W749" s="50">
        <v>49</v>
      </c>
      <c r="X749" s="50">
        <v>451</v>
      </c>
      <c r="Y749" s="50">
        <v>15.83</v>
      </c>
      <c r="Z749" s="50">
        <v>29.8</v>
      </c>
      <c r="AA749" s="50">
        <v>5.98</v>
      </c>
      <c r="AB749" s="50"/>
      <c r="AC749" s="50"/>
      <c r="AD749" s="50"/>
      <c r="AE749" s="50"/>
      <c r="AF749" s="50"/>
      <c r="AG749" s="50"/>
      <c r="AH749" s="50"/>
      <c r="AI749" s="50"/>
      <c r="AJ749" s="50"/>
    </row>
    <row r="750" spans="1:36" ht="15" customHeight="1" x14ac:dyDescent="0.25">
      <c r="A750" s="50">
        <v>150</v>
      </c>
      <c r="B750" s="50" t="s">
        <v>926</v>
      </c>
      <c r="C750" s="50" t="s">
        <v>1357</v>
      </c>
      <c r="D750" s="50">
        <v>43</v>
      </c>
      <c r="E750" s="50" t="s">
        <v>1353</v>
      </c>
      <c r="F750" s="50">
        <v>12</v>
      </c>
      <c r="G750" s="50">
        <v>6.5</v>
      </c>
      <c r="H750" s="50">
        <v>48</v>
      </c>
      <c r="I750" s="50">
        <v>2.92</v>
      </c>
      <c r="J750" s="50">
        <v>119</v>
      </c>
      <c r="K750" s="50">
        <v>91</v>
      </c>
      <c r="L750" s="50">
        <v>6.15</v>
      </c>
      <c r="M750" s="50">
        <v>5.12</v>
      </c>
      <c r="N750" s="50">
        <v>53</v>
      </c>
      <c r="O750" s="50">
        <v>9.6999999999999993</v>
      </c>
      <c r="P750" s="50">
        <v>13.5</v>
      </c>
      <c r="Q750" s="50">
        <v>46.1</v>
      </c>
      <c r="R750" s="50">
        <v>40.5</v>
      </c>
      <c r="S750" s="50">
        <v>27.7</v>
      </c>
      <c r="T750" s="50">
        <v>48</v>
      </c>
      <c r="U750" s="50">
        <v>4.55</v>
      </c>
      <c r="V750" s="50">
        <v>60.1</v>
      </c>
      <c r="W750" s="50">
        <v>47</v>
      </c>
      <c r="X750" s="50">
        <v>444</v>
      </c>
      <c r="Y750" s="50">
        <v>15.89</v>
      </c>
      <c r="Z750" s="50">
        <v>29.6</v>
      </c>
      <c r="AA750" s="50">
        <v>5.78</v>
      </c>
      <c r="AB750" s="50"/>
      <c r="AC750" s="50"/>
      <c r="AD750" s="50"/>
      <c r="AE750" s="50"/>
      <c r="AF750" s="50"/>
      <c r="AG750" s="50"/>
      <c r="AH750" s="50"/>
      <c r="AI750" s="50"/>
      <c r="AJ750" s="50"/>
    </row>
    <row r="751" spans="1:36" ht="15" customHeight="1" x14ac:dyDescent="0.25">
      <c r="A751" s="50">
        <v>150</v>
      </c>
      <c r="B751" s="50" t="s">
        <v>926</v>
      </c>
      <c r="C751" s="50" t="s">
        <v>1357</v>
      </c>
      <c r="D751" s="50">
        <v>43</v>
      </c>
      <c r="E751" s="50" t="s">
        <v>1353</v>
      </c>
      <c r="F751" s="50">
        <v>21</v>
      </c>
      <c r="G751" s="50">
        <v>5.5</v>
      </c>
      <c r="H751" s="50">
        <v>44</v>
      </c>
      <c r="I751" s="50">
        <v>2.76</v>
      </c>
      <c r="J751" s="50">
        <v>124</v>
      </c>
      <c r="K751" s="50">
        <v>85</v>
      </c>
      <c r="L751" s="50">
        <v>5.18</v>
      </c>
      <c r="M751" s="50">
        <v>4.63</v>
      </c>
      <c r="N751" s="50">
        <v>47</v>
      </c>
      <c r="O751" s="50">
        <v>9.4</v>
      </c>
      <c r="P751" s="50">
        <v>13.3</v>
      </c>
      <c r="Q751" s="50">
        <v>44.1</v>
      </c>
      <c r="R751" s="50">
        <v>48.4</v>
      </c>
      <c r="S751" s="50">
        <v>30.2</v>
      </c>
      <c r="T751" s="50">
        <v>54</v>
      </c>
      <c r="U751" s="50">
        <v>4.5999999999999996</v>
      </c>
      <c r="V751" s="50">
        <v>62.9</v>
      </c>
      <c r="W751" s="50">
        <v>57</v>
      </c>
      <c r="X751" s="50">
        <v>458</v>
      </c>
      <c r="Y751" s="50">
        <v>15.02</v>
      </c>
      <c r="Z751" s="50">
        <v>30.8</v>
      </c>
      <c r="AA751" s="50">
        <v>6.27</v>
      </c>
      <c r="AB751" s="50"/>
      <c r="AC751" s="50"/>
      <c r="AD751" s="50"/>
      <c r="AE751" s="50"/>
      <c r="AF751" s="50"/>
      <c r="AG751" s="50"/>
      <c r="AH751" s="50"/>
      <c r="AI751" s="50"/>
      <c r="AJ751" s="50"/>
    </row>
    <row r="752" spans="1:36" ht="15" customHeight="1" x14ac:dyDescent="0.25">
      <c r="A752" s="50">
        <v>151</v>
      </c>
      <c r="B752" s="50" t="s">
        <v>926</v>
      </c>
      <c r="C752" s="50" t="s">
        <v>1352</v>
      </c>
      <c r="D752" s="50">
        <v>48</v>
      </c>
      <c r="E752" s="50" t="s">
        <v>1359</v>
      </c>
      <c r="F752" s="50">
        <v>0</v>
      </c>
      <c r="G752" s="50">
        <v>6.6</v>
      </c>
      <c r="H752" s="50">
        <v>40</v>
      </c>
      <c r="I752" s="50">
        <v>3.39</v>
      </c>
      <c r="J752" s="50">
        <v>75</v>
      </c>
      <c r="K752" s="50">
        <v>100</v>
      </c>
      <c r="L752" s="50">
        <v>7.21</v>
      </c>
      <c r="M752" s="50">
        <v>6.21</v>
      </c>
      <c r="N752" s="50">
        <v>39</v>
      </c>
      <c r="O752" s="50">
        <v>11.2</v>
      </c>
      <c r="P752" s="50">
        <v>9.6999999999999993</v>
      </c>
      <c r="Q752" s="50">
        <v>52.8</v>
      </c>
      <c r="R752" s="50">
        <v>38.299999999999997</v>
      </c>
      <c r="S752" s="50">
        <v>22.8</v>
      </c>
      <c r="T752" s="50">
        <v>18</v>
      </c>
      <c r="U752" s="50">
        <v>13.26</v>
      </c>
      <c r="V752" s="50">
        <v>57.6</v>
      </c>
      <c r="W752" s="50">
        <v>31</v>
      </c>
      <c r="X752" s="50">
        <v>422</v>
      </c>
      <c r="Y752" s="50">
        <v>11.34</v>
      </c>
      <c r="Z752" s="50">
        <v>11.8</v>
      </c>
      <c r="AA752" s="50">
        <v>5.07</v>
      </c>
      <c r="AB752" s="50"/>
      <c r="AC752" s="50"/>
      <c r="AD752" s="50"/>
      <c r="AE752" s="50"/>
      <c r="AF752" s="50"/>
      <c r="AG752" s="50"/>
      <c r="AH752" s="50"/>
      <c r="AI752" s="50"/>
      <c r="AJ752" s="50"/>
    </row>
    <row r="753" spans="1:36" ht="15" customHeight="1" x14ac:dyDescent="0.25">
      <c r="A753" s="50">
        <v>151</v>
      </c>
      <c r="B753" s="50" t="s">
        <v>926</v>
      </c>
      <c r="C753" s="50" t="s">
        <v>1352</v>
      </c>
      <c r="D753" s="50">
        <v>48</v>
      </c>
      <c r="E753" s="50" t="s">
        <v>1359</v>
      </c>
      <c r="F753" s="50">
        <v>4</v>
      </c>
      <c r="G753" s="50">
        <v>6.3</v>
      </c>
      <c r="H753" s="50">
        <v>39</v>
      </c>
      <c r="I753" s="50">
        <v>3.34</v>
      </c>
      <c r="J753" s="50">
        <v>66</v>
      </c>
      <c r="K753" s="50">
        <v>97</v>
      </c>
      <c r="L753" s="50">
        <v>6.94</v>
      </c>
      <c r="M753" s="50">
        <v>6.03</v>
      </c>
      <c r="N753" s="50">
        <v>38</v>
      </c>
      <c r="O753" s="50">
        <v>10.1</v>
      </c>
      <c r="P753" s="50">
        <v>7.7</v>
      </c>
      <c r="Q753" s="50">
        <v>49.9</v>
      </c>
      <c r="R753" s="50">
        <v>38.799999999999997</v>
      </c>
      <c r="S753" s="50">
        <v>26.4</v>
      </c>
      <c r="T753" s="50">
        <v>23</v>
      </c>
      <c r="U753" s="50">
        <v>13.09</v>
      </c>
      <c r="V753" s="50">
        <v>58.1</v>
      </c>
      <c r="W753" s="50">
        <v>38</v>
      </c>
      <c r="X753" s="50">
        <v>416</v>
      </c>
      <c r="Y753" s="50">
        <v>11.06</v>
      </c>
      <c r="Z753" s="50">
        <v>15</v>
      </c>
      <c r="AA753" s="50">
        <v>5.27</v>
      </c>
      <c r="AB753" s="50"/>
      <c r="AC753" s="50"/>
      <c r="AD753" s="50"/>
      <c r="AE753" s="50"/>
      <c r="AF753" s="50"/>
      <c r="AG753" s="50"/>
      <c r="AH753" s="50"/>
      <c r="AI753" s="50"/>
      <c r="AJ753" s="50"/>
    </row>
    <row r="754" spans="1:36" ht="15" customHeight="1" x14ac:dyDescent="0.25">
      <c r="A754" s="50">
        <v>151</v>
      </c>
      <c r="B754" s="50" t="s">
        <v>926</v>
      </c>
      <c r="C754" s="50" t="s">
        <v>1352</v>
      </c>
      <c r="D754" s="50">
        <v>48</v>
      </c>
      <c r="E754" s="50" t="s">
        <v>1359</v>
      </c>
      <c r="F754" s="50">
        <v>8</v>
      </c>
      <c r="G754" s="50">
        <v>5.9</v>
      </c>
      <c r="H754" s="50">
        <v>36</v>
      </c>
      <c r="I754" s="50">
        <v>3.12</v>
      </c>
      <c r="J754" s="50">
        <v>72</v>
      </c>
      <c r="K754" s="50">
        <v>94</v>
      </c>
      <c r="L754" s="50">
        <v>6.58</v>
      </c>
      <c r="M754" s="50">
        <v>5.71</v>
      </c>
      <c r="N754" s="50">
        <v>36</v>
      </c>
      <c r="O754" s="50">
        <v>8.8000000000000007</v>
      </c>
      <c r="P754" s="50">
        <v>9</v>
      </c>
      <c r="Q754" s="50">
        <v>50.3</v>
      </c>
      <c r="R754" s="50">
        <v>43.7</v>
      </c>
      <c r="S754" s="50">
        <v>24.8</v>
      </c>
      <c r="T754" s="50">
        <v>26</v>
      </c>
      <c r="U754" s="50">
        <v>12.73</v>
      </c>
      <c r="V754" s="50">
        <v>58.5</v>
      </c>
      <c r="W754" s="50">
        <v>39</v>
      </c>
      <c r="X754" s="50">
        <v>429</v>
      </c>
      <c r="Y754" s="50">
        <v>11</v>
      </c>
      <c r="Z754" s="50">
        <v>17.5</v>
      </c>
      <c r="AA754" s="50">
        <v>5.45</v>
      </c>
      <c r="AB754" s="50"/>
      <c r="AC754" s="50"/>
      <c r="AD754" s="50"/>
      <c r="AE754" s="50"/>
      <c r="AF754" s="50"/>
      <c r="AG754" s="50"/>
      <c r="AH754" s="50"/>
      <c r="AI754" s="50"/>
      <c r="AJ754" s="50"/>
    </row>
    <row r="755" spans="1:36" ht="15" customHeight="1" x14ac:dyDescent="0.25">
      <c r="A755" s="50">
        <v>151</v>
      </c>
      <c r="B755" s="50" t="s">
        <v>926</v>
      </c>
      <c r="C755" s="50" t="s">
        <v>1352</v>
      </c>
      <c r="D755" s="50">
        <v>48</v>
      </c>
      <c r="E755" s="50" t="s">
        <v>1359</v>
      </c>
      <c r="F755" s="50">
        <v>12</v>
      </c>
      <c r="G755" s="50">
        <v>5.5</v>
      </c>
      <c r="H755" s="50">
        <v>37</v>
      </c>
      <c r="I755" s="50">
        <v>3.1</v>
      </c>
      <c r="J755" s="50">
        <v>76</v>
      </c>
      <c r="K755" s="50">
        <v>91</v>
      </c>
      <c r="L755" s="50">
        <v>6.18</v>
      </c>
      <c r="M755" s="50">
        <v>5.28</v>
      </c>
      <c r="N755" s="50">
        <v>35</v>
      </c>
      <c r="O755" s="50">
        <v>9.3000000000000007</v>
      </c>
      <c r="P755" s="50">
        <v>8.3000000000000007</v>
      </c>
      <c r="Q755" s="50">
        <v>45.5</v>
      </c>
      <c r="R755" s="50">
        <v>45.1</v>
      </c>
      <c r="S755" s="50">
        <v>28.9</v>
      </c>
      <c r="T755" s="50">
        <v>31</v>
      </c>
      <c r="U755" s="50">
        <v>12.18</v>
      </c>
      <c r="V755" s="50">
        <v>60.6</v>
      </c>
      <c r="W755" s="50">
        <v>46</v>
      </c>
      <c r="X755" s="50">
        <v>446</v>
      </c>
      <c r="Y755" s="50">
        <v>10.94</v>
      </c>
      <c r="Z755" s="50">
        <v>19.600000000000001</v>
      </c>
      <c r="AA755" s="50">
        <v>5.81</v>
      </c>
      <c r="AB755" s="50"/>
      <c r="AC755" s="50"/>
      <c r="AD755" s="50"/>
      <c r="AE755" s="50"/>
      <c r="AF755" s="50"/>
      <c r="AG755" s="50"/>
      <c r="AH755" s="50"/>
      <c r="AI755" s="50"/>
      <c r="AJ755" s="50"/>
    </row>
    <row r="756" spans="1:36" ht="15" customHeight="1" x14ac:dyDescent="0.25">
      <c r="A756" s="50">
        <v>151</v>
      </c>
      <c r="B756" s="50" t="s">
        <v>926</v>
      </c>
      <c r="C756" s="50" t="s">
        <v>1352</v>
      </c>
      <c r="D756" s="50">
        <v>48</v>
      </c>
      <c r="E756" s="50" t="s">
        <v>1359</v>
      </c>
      <c r="F756" s="50">
        <v>21</v>
      </c>
      <c r="G756" s="50">
        <v>4.9000000000000004</v>
      </c>
      <c r="H756" s="50">
        <v>35</v>
      </c>
      <c r="I756" s="50">
        <v>2.89</v>
      </c>
      <c r="J756" s="50">
        <v>77</v>
      </c>
      <c r="K756" s="50">
        <v>85</v>
      </c>
      <c r="L756" s="50">
        <v>5.71</v>
      </c>
      <c r="M756" s="50">
        <v>5.12</v>
      </c>
      <c r="N756" s="50">
        <v>33</v>
      </c>
      <c r="O756" s="50">
        <v>8.1999999999999993</v>
      </c>
      <c r="P756" s="50">
        <v>8</v>
      </c>
      <c r="Q756" s="50">
        <v>44.4</v>
      </c>
      <c r="R756" s="50">
        <v>48.7</v>
      </c>
      <c r="S756" s="50">
        <v>29.4</v>
      </c>
      <c r="T756" s="50">
        <v>37</v>
      </c>
      <c r="U756" s="50">
        <v>12.43</v>
      </c>
      <c r="V756" s="50">
        <v>62.8</v>
      </c>
      <c r="W756" s="50">
        <v>50</v>
      </c>
      <c r="X756" s="50">
        <v>451</v>
      </c>
      <c r="Y756" s="50">
        <v>10.52</v>
      </c>
      <c r="Z756" s="50">
        <v>20.6</v>
      </c>
      <c r="AA756" s="50">
        <v>5.57</v>
      </c>
      <c r="AB756" s="50"/>
      <c r="AC756" s="50"/>
      <c r="AD756" s="50"/>
      <c r="AE756" s="50"/>
      <c r="AF756" s="50"/>
      <c r="AG756" s="50"/>
      <c r="AH756" s="50"/>
      <c r="AI756" s="50"/>
      <c r="AJ756" s="50"/>
    </row>
    <row r="757" spans="1:36" ht="15" customHeight="1" x14ac:dyDescent="0.25">
      <c r="A757" s="50">
        <v>152</v>
      </c>
      <c r="B757" s="50" t="s">
        <v>926</v>
      </c>
      <c r="C757" s="50" t="s">
        <v>1357</v>
      </c>
      <c r="D757" s="50">
        <v>32</v>
      </c>
      <c r="E757" s="50" t="s">
        <v>1355</v>
      </c>
      <c r="F757" s="50">
        <v>0</v>
      </c>
      <c r="G757" s="50">
        <v>6.6</v>
      </c>
      <c r="H757" s="50">
        <v>38</v>
      </c>
      <c r="I757" s="50">
        <v>3.67</v>
      </c>
      <c r="J757" s="50">
        <v>115</v>
      </c>
      <c r="K757" s="50">
        <v>100</v>
      </c>
      <c r="L757" s="50">
        <v>5.65</v>
      </c>
      <c r="M757" s="50">
        <v>6.84</v>
      </c>
      <c r="N757" s="50">
        <v>55</v>
      </c>
      <c r="O757" s="50">
        <v>11.9</v>
      </c>
      <c r="P757" s="50">
        <v>9.8000000000000007</v>
      </c>
      <c r="Q757" s="50">
        <v>34.200000000000003</v>
      </c>
      <c r="R757" s="50">
        <v>33.799999999999997</v>
      </c>
      <c r="S757" s="50">
        <v>26.9</v>
      </c>
      <c r="T757" s="50">
        <v>40</v>
      </c>
      <c r="U757" s="50">
        <v>13.87</v>
      </c>
      <c r="V757" s="50">
        <v>59.5</v>
      </c>
      <c r="W757" s="50">
        <v>32</v>
      </c>
      <c r="X757" s="50">
        <v>450</v>
      </c>
      <c r="Y757" s="50">
        <v>14.62</v>
      </c>
      <c r="Z757" s="50">
        <v>25.8</v>
      </c>
      <c r="AA757" s="50">
        <v>4.0599999999999996</v>
      </c>
      <c r="AB757" s="50"/>
      <c r="AC757" s="50"/>
      <c r="AD757" s="50"/>
      <c r="AE757" s="50"/>
      <c r="AF757" s="50"/>
      <c r="AG757" s="50"/>
      <c r="AH757" s="50"/>
      <c r="AI757" s="50"/>
      <c r="AJ757" s="50"/>
    </row>
    <row r="758" spans="1:36" ht="15" customHeight="1" x14ac:dyDescent="0.25">
      <c r="A758" s="50">
        <v>152</v>
      </c>
      <c r="B758" s="50" t="s">
        <v>926</v>
      </c>
      <c r="C758" s="50" t="s">
        <v>1357</v>
      </c>
      <c r="D758" s="50">
        <v>32</v>
      </c>
      <c r="E758" s="50" t="s">
        <v>1355</v>
      </c>
      <c r="F758" s="50">
        <v>4</v>
      </c>
      <c r="G758" s="50">
        <v>6.4</v>
      </c>
      <c r="H758" s="50">
        <v>39</v>
      </c>
      <c r="I758" s="50">
        <v>3.57</v>
      </c>
      <c r="J758" s="50">
        <v>112</v>
      </c>
      <c r="K758" s="50">
        <v>97</v>
      </c>
      <c r="L758" s="50">
        <v>5.62</v>
      </c>
      <c r="M758" s="50">
        <v>6.52</v>
      </c>
      <c r="N758" s="50">
        <v>53</v>
      </c>
      <c r="O758" s="50">
        <v>11.4</v>
      </c>
      <c r="P758" s="50">
        <v>9.9</v>
      </c>
      <c r="Q758" s="50">
        <v>30.6</v>
      </c>
      <c r="R758" s="50">
        <v>36.700000000000003</v>
      </c>
      <c r="S758" s="50">
        <v>23.3</v>
      </c>
      <c r="T758" s="50">
        <v>41</v>
      </c>
      <c r="U758" s="50">
        <v>14.04</v>
      </c>
      <c r="V758" s="50">
        <v>61</v>
      </c>
      <c r="W758" s="50">
        <v>33</v>
      </c>
      <c r="X758" s="50">
        <v>461</v>
      </c>
      <c r="Y758" s="50">
        <v>14.14</v>
      </c>
      <c r="Z758" s="50">
        <v>28.6</v>
      </c>
      <c r="AA758" s="50">
        <v>4.12</v>
      </c>
      <c r="AB758" s="50"/>
      <c r="AC758" s="50"/>
      <c r="AD758" s="50"/>
      <c r="AE758" s="50"/>
      <c r="AF758" s="50"/>
      <c r="AG758" s="50"/>
      <c r="AH758" s="50"/>
      <c r="AI758" s="50"/>
      <c r="AJ758" s="50"/>
    </row>
    <row r="759" spans="1:36" ht="15" customHeight="1" x14ac:dyDescent="0.25">
      <c r="A759" s="50">
        <v>152</v>
      </c>
      <c r="B759" s="50" t="s">
        <v>926</v>
      </c>
      <c r="C759" s="50" t="s">
        <v>1357</v>
      </c>
      <c r="D759" s="50">
        <v>32</v>
      </c>
      <c r="E759" s="50" t="s">
        <v>1355</v>
      </c>
      <c r="F759" s="50">
        <v>8</v>
      </c>
      <c r="G759" s="50">
        <v>6.1</v>
      </c>
      <c r="H759" s="50">
        <v>37</v>
      </c>
      <c r="I759" s="50">
        <v>3.59</v>
      </c>
      <c r="J759" s="50">
        <v>118</v>
      </c>
      <c r="K759" s="50">
        <v>94</v>
      </c>
      <c r="L759" s="50">
        <v>5.49</v>
      </c>
      <c r="M759" s="50">
        <v>6.33</v>
      </c>
      <c r="N759" s="50">
        <v>55</v>
      </c>
      <c r="O759" s="50">
        <v>10.6</v>
      </c>
      <c r="P759" s="50">
        <v>8.8000000000000007</v>
      </c>
      <c r="Q759" s="50">
        <v>32.700000000000003</v>
      </c>
      <c r="R759" s="50">
        <v>39.5</v>
      </c>
      <c r="S759" s="50">
        <v>25.4</v>
      </c>
      <c r="T759" s="50">
        <v>42</v>
      </c>
      <c r="U759" s="50">
        <v>14.72</v>
      </c>
      <c r="V759" s="50">
        <v>59.1</v>
      </c>
      <c r="W759" s="50">
        <v>35</v>
      </c>
      <c r="X759" s="50">
        <v>467</v>
      </c>
      <c r="Y759" s="50">
        <v>13.8</v>
      </c>
      <c r="Z759" s="50">
        <v>29.2</v>
      </c>
      <c r="AA759" s="50">
        <v>4.3</v>
      </c>
      <c r="AB759" s="50"/>
      <c r="AC759" s="50"/>
      <c r="AD759" s="50"/>
      <c r="AE759" s="50"/>
      <c r="AF759" s="50"/>
      <c r="AG759" s="50"/>
      <c r="AH759" s="50"/>
      <c r="AI759" s="50"/>
      <c r="AJ759" s="50"/>
    </row>
    <row r="760" spans="1:36" ht="15" customHeight="1" x14ac:dyDescent="0.25">
      <c r="A760" s="50">
        <v>152</v>
      </c>
      <c r="B760" s="50" t="s">
        <v>926</v>
      </c>
      <c r="C760" s="50" t="s">
        <v>1357</v>
      </c>
      <c r="D760" s="50">
        <v>32</v>
      </c>
      <c r="E760" s="50" t="s">
        <v>1355</v>
      </c>
      <c r="F760" s="50">
        <v>12</v>
      </c>
      <c r="G760" s="50">
        <v>5.6</v>
      </c>
      <c r="H760" s="50">
        <v>37</v>
      </c>
      <c r="I760" s="50">
        <v>3.37</v>
      </c>
      <c r="J760" s="50">
        <v>118</v>
      </c>
      <c r="K760" s="50">
        <v>91</v>
      </c>
      <c r="L760" s="50">
        <v>5.08</v>
      </c>
      <c r="M760" s="50">
        <v>5.92</v>
      </c>
      <c r="N760" s="50">
        <v>50</v>
      </c>
      <c r="O760" s="50">
        <v>10.4</v>
      </c>
      <c r="P760" s="50">
        <v>8.9</v>
      </c>
      <c r="Q760" s="50">
        <v>31.9</v>
      </c>
      <c r="R760" s="50">
        <v>42.3</v>
      </c>
      <c r="S760" s="50">
        <v>28</v>
      </c>
      <c r="T760" s="50">
        <v>45</v>
      </c>
      <c r="U760" s="50">
        <v>12.74</v>
      </c>
      <c r="V760" s="50">
        <v>61.5</v>
      </c>
      <c r="W760" s="50">
        <v>34</v>
      </c>
      <c r="X760" s="50">
        <v>465</v>
      </c>
      <c r="Y760" s="50">
        <v>13.38</v>
      </c>
      <c r="Z760" s="50">
        <v>29.5</v>
      </c>
      <c r="AA760" s="50">
        <v>4.71</v>
      </c>
      <c r="AB760" s="50"/>
      <c r="AC760" s="50"/>
      <c r="AD760" s="50"/>
      <c r="AE760" s="50"/>
      <c r="AF760" s="50"/>
      <c r="AG760" s="50"/>
      <c r="AH760" s="50"/>
      <c r="AI760" s="50"/>
      <c r="AJ760" s="50"/>
    </row>
    <row r="761" spans="1:36" ht="15" customHeight="1" x14ac:dyDescent="0.25">
      <c r="A761" s="50">
        <v>152</v>
      </c>
      <c r="B761" s="50" t="s">
        <v>926</v>
      </c>
      <c r="C761" s="50" t="s">
        <v>1357</v>
      </c>
      <c r="D761" s="50">
        <v>32</v>
      </c>
      <c r="E761" s="50" t="s">
        <v>1355</v>
      </c>
      <c r="F761" s="50">
        <v>21</v>
      </c>
      <c r="G761" s="50">
        <v>5.0999999999999996</v>
      </c>
      <c r="H761" s="50">
        <v>35</v>
      </c>
      <c r="I761" s="50">
        <v>3.1</v>
      </c>
      <c r="J761" s="50">
        <v>127</v>
      </c>
      <c r="K761" s="50">
        <v>85</v>
      </c>
      <c r="L761" s="50">
        <v>4.88</v>
      </c>
      <c r="M761" s="50">
        <v>5.89</v>
      </c>
      <c r="N761" s="50">
        <v>49</v>
      </c>
      <c r="O761" s="50">
        <v>10.7</v>
      </c>
      <c r="P761" s="50">
        <v>8.6999999999999993</v>
      </c>
      <c r="Q761" s="50">
        <v>31.9</v>
      </c>
      <c r="R761" s="50">
        <v>44.4</v>
      </c>
      <c r="S761" s="50">
        <v>30.4</v>
      </c>
      <c r="T761" s="50">
        <v>49</v>
      </c>
      <c r="U761" s="50">
        <v>12.29</v>
      </c>
      <c r="V761" s="50">
        <v>63.5</v>
      </c>
      <c r="W761" s="50">
        <v>39</v>
      </c>
      <c r="X761" s="50">
        <v>474</v>
      </c>
      <c r="Y761" s="50">
        <v>12.86</v>
      </c>
      <c r="Z761" s="50">
        <v>31.5</v>
      </c>
      <c r="AA761" s="50">
        <v>5.24</v>
      </c>
      <c r="AB761" s="50"/>
      <c r="AC761" s="50"/>
      <c r="AD761" s="50"/>
      <c r="AE761" s="50"/>
      <c r="AF761" s="50"/>
      <c r="AG761" s="50"/>
      <c r="AH761" s="50"/>
      <c r="AI761" s="50"/>
      <c r="AJ761" s="50"/>
    </row>
    <row r="762" spans="1:36" ht="15" customHeight="1" x14ac:dyDescent="0.25">
      <c r="A762" s="50">
        <v>153</v>
      </c>
      <c r="B762" s="50" t="s">
        <v>926</v>
      </c>
      <c r="C762" s="50" t="s">
        <v>1357</v>
      </c>
      <c r="D762" s="50">
        <v>41</v>
      </c>
      <c r="E762" s="50" t="s">
        <v>1360</v>
      </c>
      <c r="F762" s="50">
        <v>0</v>
      </c>
      <c r="G762" s="50">
        <v>7.1</v>
      </c>
      <c r="H762" s="50">
        <v>46</v>
      </c>
      <c r="I762" s="50">
        <v>3.05</v>
      </c>
      <c r="J762" s="50">
        <v>106</v>
      </c>
      <c r="K762" s="50">
        <v>100</v>
      </c>
      <c r="L762" s="50">
        <v>7.11</v>
      </c>
      <c r="M762" s="50">
        <v>6.44</v>
      </c>
      <c r="N762" s="50">
        <v>40</v>
      </c>
      <c r="O762" s="50">
        <v>19.7</v>
      </c>
      <c r="P762" s="50">
        <v>8.6</v>
      </c>
      <c r="Q762" s="50">
        <v>49.6</v>
      </c>
      <c r="R762" s="50">
        <v>27.4</v>
      </c>
      <c r="S762" s="50">
        <v>18.3</v>
      </c>
      <c r="T762" s="50">
        <v>31</v>
      </c>
      <c r="U762" s="50">
        <v>10.92</v>
      </c>
      <c r="V762" s="50">
        <v>58.6</v>
      </c>
      <c r="W762" s="50">
        <v>61</v>
      </c>
      <c r="X762" s="50">
        <v>310</v>
      </c>
      <c r="Y762" s="50">
        <v>16.079999999999998</v>
      </c>
      <c r="Z762" s="50">
        <v>21.7</v>
      </c>
      <c r="AA762" s="50">
        <v>4.79</v>
      </c>
      <c r="AB762" s="50"/>
      <c r="AC762" s="50"/>
      <c r="AD762" s="50"/>
      <c r="AE762" s="50"/>
      <c r="AF762" s="50"/>
      <c r="AG762" s="50"/>
      <c r="AH762" s="50"/>
      <c r="AI762" s="50"/>
      <c r="AJ762" s="50"/>
    </row>
    <row r="763" spans="1:36" ht="15" customHeight="1" x14ac:dyDescent="0.25">
      <c r="A763" s="50">
        <v>153</v>
      </c>
      <c r="B763" s="50" t="s">
        <v>926</v>
      </c>
      <c r="C763" s="50" t="s">
        <v>1357</v>
      </c>
      <c r="D763" s="50">
        <v>41</v>
      </c>
      <c r="E763" s="50" t="s">
        <v>1360</v>
      </c>
      <c r="F763" s="50">
        <v>4</v>
      </c>
      <c r="G763" s="50">
        <v>6.5</v>
      </c>
      <c r="H763" s="50">
        <v>47</v>
      </c>
      <c r="I763" s="50">
        <v>2.98</v>
      </c>
      <c r="J763" s="50">
        <v>105</v>
      </c>
      <c r="K763" s="50">
        <v>97</v>
      </c>
      <c r="L763" s="50">
        <v>6.38</v>
      </c>
      <c r="M763" s="50">
        <v>5.84</v>
      </c>
      <c r="N763" s="50">
        <v>38</v>
      </c>
      <c r="O763" s="50">
        <v>18</v>
      </c>
      <c r="P763" s="50">
        <v>8.5</v>
      </c>
      <c r="Q763" s="50">
        <v>47.5</v>
      </c>
      <c r="R763" s="50">
        <v>32.4</v>
      </c>
      <c r="S763" s="50">
        <v>20.9</v>
      </c>
      <c r="T763" s="50">
        <v>34</v>
      </c>
      <c r="U763" s="50">
        <v>10.51</v>
      </c>
      <c r="V763" s="50">
        <v>60.8</v>
      </c>
      <c r="W763" s="50">
        <v>64</v>
      </c>
      <c r="X763" s="50">
        <v>339</v>
      </c>
      <c r="Y763" s="50">
        <v>14.83</v>
      </c>
      <c r="Z763" s="50">
        <v>23.5</v>
      </c>
      <c r="AA763" s="50">
        <v>4.9400000000000004</v>
      </c>
      <c r="AB763" s="50"/>
      <c r="AC763" s="50"/>
      <c r="AD763" s="50"/>
      <c r="AE763" s="50"/>
      <c r="AF763" s="50"/>
      <c r="AG763" s="50"/>
      <c r="AH763" s="50"/>
      <c r="AI763" s="50"/>
      <c r="AJ763" s="50"/>
    </row>
    <row r="764" spans="1:36" ht="15" customHeight="1" x14ac:dyDescent="0.25">
      <c r="A764" s="50">
        <v>153</v>
      </c>
      <c r="B764" s="50" t="s">
        <v>926</v>
      </c>
      <c r="C764" s="50" t="s">
        <v>1357</v>
      </c>
      <c r="D764" s="50">
        <v>41</v>
      </c>
      <c r="E764" s="50" t="s">
        <v>1360</v>
      </c>
      <c r="F764" s="50">
        <v>8</v>
      </c>
      <c r="G764" s="50">
        <v>6.3</v>
      </c>
      <c r="H764" s="50">
        <v>45</v>
      </c>
      <c r="I764" s="50">
        <v>2.84</v>
      </c>
      <c r="J764" s="50">
        <v>108</v>
      </c>
      <c r="K764" s="50">
        <v>94</v>
      </c>
      <c r="L764" s="50">
        <v>6.43</v>
      </c>
      <c r="M764" s="50">
        <v>5.58</v>
      </c>
      <c r="N764" s="50">
        <v>38</v>
      </c>
      <c r="O764" s="50">
        <v>17.5</v>
      </c>
      <c r="P764" s="50">
        <v>8.6999999999999993</v>
      </c>
      <c r="Q764" s="50">
        <v>44.7</v>
      </c>
      <c r="R764" s="50">
        <v>32.299999999999997</v>
      </c>
      <c r="S764" s="50">
        <v>23.5</v>
      </c>
      <c r="T764" s="50">
        <v>36</v>
      </c>
      <c r="U764" s="50">
        <v>9.8800000000000008</v>
      </c>
      <c r="V764" s="50">
        <v>60.7</v>
      </c>
      <c r="W764" s="50">
        <v>62</v>
      </c>
      <c r="X764" s="50">
        <v>326</v>
      </c>
      <c r="Y764" s="50">
        <v>14.99</v>
      </c>
      <c r="Z764" s="50">
        <v>22.7</v>
      </c>
      <c r="AA764" s="50">
        <v>5.19</v>
      </c>
      <c r="AB764" s="50"/>
      <c r="AC764" s="50"/>
      <c r="AD764" s="50"/>
      <c r="AE764" s="50"/>
      <c r="AF764" s="50"/>
      <c r="AG764" s="50"/>
      <c r="AH764" s="50"/>
      <c r="AI764" s="50"/>
      <c r="AJ764" s="50"/>
    </row>
    <row r="765" spans="1:36" ht="15" customHeight="1" x14ac:dyDescent="0.25">
      <c r="A765" s="50">
        <v>153</v>
      </c>
      <c r="B765" s="50" t="s">
        <v>926</v>
      </c>
      <c r="C765" s="50" t="s">
        <v>1357</v>
      </c>
      <c r="D765" s="50">
        <v>41</v>
      </c>
      <c r="E765" s="50" t="s">
        <v>1360</v>
      </c>
      <c r="F765" s="50">
        <v>12</v>
      </c>
      <c r="G765" s="50">
        <v>5.8</v>
      </c>
      <c r="H765" s="50">
        <v>44</v>
      </c>
      <c r="I765" s="50">
        <v>2.79</v>
      </c>
      <c r="J765" s="50">
        <v>110</v>
      </c>
      <c r="K765" s="50">
        <v>91</v>
      </c>
      <c r="L765" s="50">
        <v>5.66</v>
      </c>
      <c r="M765" s="50">
        <v>5.47</v>
      </c>
      <c r="N765" s="50">
        <v>38</v>
      </c>
      <c r="O765" s="50">
        <v>17</v>
      </c>
      <c r="P765" s="50">
        <v>7.8</v>
      </c>
      <c r="Q765" s="50">
        <v>41.1</v>
      </c>
      <c r="R765" s="50">
        <v>36.9</v>
      </c>
      <c r="S765" s="50">
        <v>24.3</v>
      </c>
      <c r="T765" s="50">
        <v>40</v>
      </c>
      <c r="U765" s="50">
        <v>10.43</v>
      </c>
      <c r="V765" s="50">
        <v>58.7</v>
      </c>
      <c r="W765" s="50">
        <v>67</v>
      </c>
      <c r="X765" s="50">
        <v>353</v>
      </c>
      <c r="Y765" s="50">
        <v>14.01</v>
      </c>
      <c r="Z765" s="50">
        <v>24.6</v>
      </c>
      <c r="AA765" s="50">
        <v>5.49</v>
      </c>
      <c r="AB765" s="50"/>
      <c r="AC765" s="50"/>
      <c r="AD765" s="50"/>
      <c r="AE765" s="50"/>
      <c r="AF765" s="50"/>
      <c r="AG765" s="50"/>
      <c r="AH765" s="50"/>
      <c r="AI765" s="50"/>
      <c r="AJ765" s="50"/>
    </row>
    <row r="766" spans="1:36" ht="15" customHeight="1" x14ac:dyDescent="0.25">
      <c r="A766" s="50">
        <v>153</v>
      </c>
      <c r="B766" s="50" t="s">
        <v>926</v>
      </c>
      <c r="C766" s="50" t="s">
        <v>1357</v>
      </c>
      <c r="D766" s="50">
        <v>41</v>
      </c>
      <c r="E766" s="50" t="s">
        <v>1360</v>
      </c>
      <c r="F766" s="50">
        <v>21</v>
      </c>
      <c r="G766" s="50">
        <v>5</v>
      </c>
      <c r="H766" s="50">
        <v>41</v>
      </c>
      <c r="I766" s="50">
        <v>2.57</v>
      </c>
      <c r="J766" s="50">
        <v>117</v>
      </c>
      <c r="K766" s="50">
        <v>85</v>
      </c>
      <c r="L766" s="50">
        <v>4.97</v>
      </c>
      <c r="M766" s="50">
        <v>4.6399999999999997</v>
      </c>
      <c r="N766" s="50">
        <v>35</v>
      </c>
      <c r="O766" s="50">
        <v>16.7</v>
      </c>
      <c r="P766" s="50">
        <v>8</v>
      </c>
      <c r="Q766" s="50">
        <v>39.299999999999997</v>
      </c>
      <c r="R766" s="50">
        <v>40</v>
      </c>
      <c r="S766" s="50">
        <v>26.5</v>
      </c>
      <c r="T766" s="50">
        <v>44</v>
      </c>
      <c r="U766" s="50">
        <v>10.42</v>
      </c>
      <c r="V766" s="50">
        <v>63.5</v>
      </c>
      <c r="W766" s="50">
        <v>67</v>
      </c>
      <c r="X766" s="50">
        <v>385</v>
      </c>
      <c r="Y766" s="50">
        <v>13.41</v>
      </c>
      <c r="Z766" s="50">
        <v>27.6</v>
      </c>
      <c r="AA766" s="50">
        <v>5.71</v>
      </c>
      <c r="AB766" s="50"/>
      <c r="AC766" s="50"/>
      <c r="AD766" s="50"/>
      <c r="AE766" s="50"/>
      <c r="AF766" s="50"/>
      <c r="AG766" s="50"/>
      <c r="AH766" s="50"/>
      <c r="AI766" s="50"/>
      <c r="AJ766" s="50"/>
    </row>
    <row r="767" spans="1:36" ht="15" customHeight="1" x14ac:dyDescent="0.25">
      <c r="A767" s="50">
        <v>154</v>
      </c>
      <c r="B767" s="50" t="s">
        <v>926</v>
      </c>
      <c r="C767" s="50" t="s">
        <v>1352</v>
      </c>
      <c r="D767" s="50">
        <v>44</v>
      </c>
      <c r="E767" s="50" t="s">
        <v>1360</v>
      </c>
      <c r="F767" s="50">
        <v>0</v>
      </c>
      <c r="G767" s="50">
        <v>6.9</v>
      </c>
      <c r="H767" s="50">
        <v>37</v>
      </c>
      <c r="I767" s="50">
        <v>3.15</v>
      </c>
      <c r="J767" s="50">
        <v>121</v>
      </c>
      <c r="K767" s="50">
        <v>100</v>
      </c>
      <c r="L767" s="50">
        <v>6.36</v>
      </c>
      <c r="M767" s="50">
        <v>6</v>
      </c>
      <c r="N767" s="50">
        <v>53</v>
      </c>
      <c r="O767" s="50">
        <v>15.3</v>
      </c>
      <c r="P767" s="50">
        <v>8</v>
      </c>
      <c r="Q767" s="50">
        <v>49.5</v>
      </c>
      <c r="R767" s="50">
        <v>39.200000000000003</v>
      </c>
      <c r="S767" s="50">
        <v>20.8</v>
      </c>
      <c r="T767" s="50">
        <v>36</v>
      </c>
      <c r="U767" s="50">
        <v>9.99</v>
      </c>
      <c r="V767" s="50">
        <v>56.7</v>
      </c>
      <c r="W767" s="50">
        <v>43</v>
      </c>
      <c r="X767" s="50">
        <v>332</v>
      </c>
      <c r="Y767" s="50">
        <v>14.57</v>
      </c>
      <c r="Z767" s="50">
        <v>25.5</v>
      </c>
      <c r="AA767" s="50">
        <v>5.9</v>
      </c>
      <c r="AB767" s="50"/>
      <c r="AC767" s="50"/>
      <c r="AD767" s="50"/>
      <c r="AE767" s="50"/>
      <c r="AF767" s="50"/>
      <c r="AG767" s="50"/>
      <c r="AH767" s="50"/>
      <c r="AI767" s="50"/>
      <c r="AJ767" s="50"/>
    </row>
    <row r="768" spans="1:36" ht="15" customHeight="1" x14ac:dyDescent="0.25">
      <c r="A768" s="50">
        <v>154</v>
      </c>
      <c r="B768" s="50" t="s">
        <v>926</v>
      </c>
      <c r="C768" s="50" t="s">
        <v>1352</v>
      </c>
      <c r="D768" s="50">
        <v>44</v>
      </c>
      <c r="E768" s="50" t="s">
        <v>1360</v>
      </c>
      <c r="F768" s="50">
        <v>4</v>
      </c>
      <c r="G768" s="50">
        <v>6.5</v>
      </c>
      <c r="H768" s="50">
        <v>39</v>
      </c>
      <c r="I768" s="50">
        <v>3.09</v>
      </c>
      <c r="J768" s="50">
        <v>121</v>
      </c>
      <c r="K768" s="50">
        <v>97</v>
      </c>
      <c r="L768" s="50">
        <v>6.01</v>
      </c>
      <c r="M768" s="50">
        <v>5.71</v>
      </c>
      <c r="N768" s="50">
        <v>53</v>
      </c>
      <c r="O768" s="50">
        <v>14</v>
      </c>
      <c r="P768" s="50">
        <v>9.1999999999999993</v>
      </c>
      <c r="Q768" s="50">
        <v>48.9</v>
      </c>
      <c r="R768" s="50">
        <v>39.6</v>
      </c>
      <c r="S768" s="50">
        <v>21.4</v>
      </c>
      <c r="T768" s="50">
        <v>39</v>
      </c>
      <c r="U768" s="50">
        <v>8.59</v>
      </c>
      <c r="V768" s="50">
        <v>58.3</v>
      </c>
      <c r="W768" s="50">
        <v>44</v>
      </c>
      <c r="X768" s="50">
        <v>354</v>
      </c>
      <c r="Y768" s="50">
        <v>14.33</v>
      </c>
      <c r="Z768" s="50">
        <v>25.1</v>
      </c>
      <c r="AA768" s="50">
        <v>5.76</v>
      </c>
      <c r="AB768" s="50"/>
      <c r="AC768" s="50"/>
      <c r="AD768" s="50"/>
      <c r="AE768" s="50"/>
      <c r="AF768" s="50"/>
      <c r="AG768" s="50"/>
      <c r="AH768" s="50"/>
      <c r="AI768" s="50"/>
      <c r="AJ768" s="50"/>
    </row>
    <row r="769" spans="1:36" ht="15" customHeight="1" x14ac:dyDescent="0.25">
      <c r="A769" s="50">
        <v>154</v>
      </c>
      <c r="B769" s="50" t="s">
        <v>926</v>
      </c>
      <c r="C769" s="50" t="s">
        <v>1352</v>
      </c>
      <c r="D769" s="50">
        <v>44</v>
      </c>
      <c r="E769" s="50" t="s">
        <v>1360</v>
      </c>
      <c r="F769" s="50">
        <v>8</v>
      </c>
      <c r="G769" s="50">
        <v>6.1</v>
      </c>
      <c r="H769" s="50">
        <v>37</v>
      </c>
      <c r="I769" s="50">
        <v>2.97</v>
      </c>
      <c r="J769" s="50">
        <v>124</v>
      </c>
      <c r="K769" s="50">
        <v>94</v>
      </c>
      <c r="L769" s="50">
        <v>5.53</v>
      </c>
      <c r="M769" s="50">
        <v>5.44</v>
      </c>
      <c r="N769" s="50">
        <v>47</v>
      </c>
      <c r="O769" s="50">
        <v>14.2</v>
      </c>
      <c r="P769" s="50">
        <v>8.3000000000000007</v>
      </c>
      <c r="Q769" s="50">
        <v>43.5</v>
      </c>
      <c r="R769" s="50">
        <v>41.1</v>
      </c>
      <c r="S769" s="50">
        <v>23.8</v>
      </c>
      <c r="T769" s="50">
        <v>41</v>
      </c>
      <c r="U769" s="50">
        <v>8.4</v>
      </c>
      <c r="V769" s="50">
        <v>57.8</v>
      </c>
      <c r="W769" s="50">
        <v>42</v>
      </c>
      <c r="X769" s="50">
        <v>360</v>
      </c>
      <c r="Y769" s="50">
        <v>13.73</v>
      </c>
      <c r="Z769" s="50">
        <v>27.4</v>
      </c>
      <c r="AA769" s="50">
        <v>5.87</v>
      </c>
      <c r="AB769" s="50"/>
      <c r="AC769" s="50"/>
      <c r="AD769" s="50"/>
      <c r="AE769" s="50"/>
      <c r="AF769" s="50"/>
      <c r="AG769" s="50"/>
      <c r="AH769" s="50"/>
      <c r="AI769" s="50"/>
      <c r="AJ769" s="50"/>
    </row>
    <row r="770" spans="1:36" ht="15" customHeight="1" x14ac:dyDescent="0.25">
      <c r="A770" s="50">
        <v>154</v>
      </c>
      <c r="B770" s="50" t="s">
        <v>926</v>
      </c>
      <c r="C770" s="50" t="s">
        <v>1352</v>
      </c>
      <c r="D770" s="50">
        <v>44</v>
      </c>
      <c r="E770" s="50" t="s">
        <v>1360</v>
      </c>
      <c r="F770" s="50">
        <v>12</v>
      </c>
      <c r="G770" s="50">
        <v>5.8</v>
      </c>
      <c r="H770" s="50">
        <v>36</v>
      </c>
      <c r="I770" s="50">
        <v>2.85</v>
      </c>
      <c r="J770" s="50">
        <v>130</v>
      </c>
      <c r="K770" s="50">
        <v>91</v>
      </c>
      <c r="L770" s="50">
        <v>5.5</v>
      </c>
      <c r="M770" s="50">
        <v>5.51</v>
      </c>
      <c r="N770" s="50">
        <v>48</v>
      </c>
      <c r="O770" s="50">
        <v>12.8</v>
      </c>
      <c r="P770" s="50">
        <v>7.7</v>
      </c>
      <c r="Q770" s="50">
        <v>43.4</v>
      </c>
      <c r="R770" s="50">
        <v>43.4</v>
      </c>
      <c r="S770" s="50">
        <v>22.9</v>
      </c>
      <c r="T770" s="50">
        <v>42</v>
      </c>
      <c r="U770" s="50">
        <v>8.76</v>
      </c>
      <c r="V770" s="50">
        <v>59.8</v>
      </c>
      <c r="W770" s="50">
        <v>45</v>
      </c>
      <c r="X770" s="50">
        <v>369</v>
      </c>
      <c r="Y770" s="50">
        <v>13.86</v>
      </c>
      <c r="Z770" s="50">
        <v>27.1</v>
      </c>
      <c r="AA770" s="50">
        <v>6.1</v>
      </c>
      <c r="AB770" s="50"/>
      <c r="AC770" s="50"/>
      <c r="AD770" s="50"/>
      <c r="AE770" s="50"/>
      <c r="AF770" s="50"/>
      <c r="AG770" s="50"/>
      <c r="AH770" s="50"/>
      <c r="AI770" s="50"/>
      <c r="AJ770" s="50"/>
    </row>
    <row r="771" spans="1:36" ht="15" customHeight="1" x14ac:dyDescent="0.25">
      <c r="A771" s="50">
        <v>154</v>
      </c>
      <c r="B771" s="50" t="s">
        <v>926</v>
      </c>
      <c r="C771" s="50" t="s">
        <v>1352</v>
      </c>
      <c r="D771" s="50">
        <v>44</v>
      </c>
      <c r="E771" s="50" t="s">
        <v>1360</v>
      </c>
      <c r="F771" s="50">
        <v>21</v>
      </c>
      <c r="G771" s="50">
        <v>5.4</v>
      </c>
      <c r="H771" s="50">
        <v>34</v>
      </c>
      <c r="I771" s="50">
        <v>2.65</v>
      </c>
      <c r="J771" s="50">
        <v>128</v>
      </c>
      <c r="K771" s="50">
        <v>85</v>
      </c>
      <c r="L771" s="50">
        <v>4.88</v>
      </c>
      <c r="M771" s="50">
        <v>4.59</v>
      </c>
      <c r="N771" s="50">
        <v>46</v>
      </c>
      <c r="O771" s="50">
        <v>12.2</v>
      </c>
      <c r="P771" s="50">
        <v>7.2</v>
      </c>
      <c r="Q771" s="50">
        <v>43.3</v>
      </c>
      <c r="R771" s="50">
        <v>43.9</v>
      </c>
      <c r="S771" s="50">
        <v>24.4</v>
      </c>
      <c r="T771" s="50">
        <v>42</v>
      </c>
      <c r="U771" s="50">
        <v>7.36</v>
      </c>
      <c r="V771" s="50">
        <v>61.7</v>
      </c>
      <c r="W771" s="50">
        <v>49</v>
      </c>
      <c r="X771" s="50">
        <v>390</v>
      </c>
      <c r="Y771" s="50">
        <v>13.72</v>
      </c>
      <c r="Z771" s="50">
        <v>29.9</v>
      </c>
      <c r="AA771" s="50">
        <v>6.06</v>
      </c>
      <c r="AB771" s="50"/>
      <c r="AC771" s="50"/>
      <c r="AD771" s="50"/>
      <c r="AE771" s="50"/>
      <c r="AF771" s="50"/>
      <c r="AG771" s="50"/>
      <c r="AH771" s="50"/>
      <c r="AI771" s="50"/>
      <c r="AJ771" s="50"/>
    </row>
    <row r="772" spans="1:36" ht="15" customHeight="1" x14ac:dyDescent="0.25">
      <c r="A772" s="50">
        <v>155</v>
      </c>
      <c r="B772" s="50" t="s">
        <v>926</v>
      </c>
      <c r="C772" s="50" t="s">
        <v>1352</v>
      </c>
      <c r="D772" s="50">
        <v>34</v>
      </c>
      <c r="E772" s="50" t="s">
        <v>1353</v>
      </c>
      <c r="F772" s="50">
        <v>0</v>
      </c>
      <c r="G772" s="50">
        <v>7.2</v>
      </c>
      <c r="H772" s="50">
        <v>53</v>
      </c>
      <c r="I772" s="50">
        <v>3.22</v>
      </c>
      <c r="J772" s="50">
        <v>97</v>
      </c>
      <c r="K772" s="50">
        <v>100</v>
      </c>
      <c r="L772" s="50">
        <v>6.8</v>
      </c>
      <c r="M772" s="50">
        <v>7.03</v>
      </c>
      <c r="N772" s="50">
        <v>24</v>
      </c>
      <c r="O772" s="50">
        <v>13.3</v>
      </c>
      <c r="P772" s="50">
        <v>8.1999999999999993</v>
      </c>
      <c r="Q772" s="50">
        <v>50.2</v>
      </c>
      <c r="R772" s="50">
        <v>40.4</v>
      </c>
      <c r="S772" s="50">
        <v>14.5</v>
      </c>
      <c r="T772" s="50">
        <v>29</v>
      </c>
      <c r="U772" s="50">
        <v>15.34</v>
      </c>
      <c r="V772" s="50">
        <v>54.2</v>
      </c>
      <c r="W772" s="50">
        <v>50</v>
      </c>
      <c r="X772" s="50">
        <v>557</v>
      </c>
      <c r="Y772" s="50">
        <v>13.9</v>
      </c>
      <c r="Z772" s="50">
        <v>29.3</v>
      </c>
      <c r="AA772" s="50">
        <v>6.02</v>
      </c>
      <c r="AB772" s="50"/>
      <c r="AC772" s="50"/>
      <c r="AD772" s="50"/>
      <c r="AE772" s="50"/>
      <c r="AF772" s="50"/>
      <c r="AG772" s="50"/>
      <c r="AH772" s="50"/>
      <c r="AI772" s="50"/>
      <c r="AJ772" s="50"/>
    </row>
    <row r="773" spans="1:36" ht="15" customHeight="1" x14ac:dyDescent="0.25">
      <c r="A773" s="50">
        <v>155</v>
      </c>
      <c r="B773" s="50" t="s">
        <v>926</v>
      </c>
      <c r="C773" s="50" t="s">
        <v>1352</v>
      </c>
      <c r="D773" s="50">
        <v>34</v>
      </c>
      <c r="E773" s="50" t="s">
        <v>1353</v>
      </c>
      <c r="F773" s="50">
        <v>4</v>
      </c>
      <c r="G773" s="50">
        <v>6.6</v>
      </c>
      <c r="H773" s="50">
        <v>53</v>
      </c>
      <c r="I773" s="50">
        <v>3.1</v>
      </c>
      <c r="J773" s="50">
        <v>103</v>
      </c>
      <c r="K773" s="50">
        <v>97</v>
      </c>
      <c r="L773" s="50">
        <v>6.15</v>
      </c>
      <c r="M773" s="50">
        <v>6.34</v>
      </c>
      <c r="N773" s="50">
        <v>19</v>
      </c>
      <c r="O773" s="50">
        <v>13.8</v>
      </c>
      <c r="P773" s="50">
        <v>8</v>
      </c>
      <c r="Q773" s="50">
        <v>46.7</v>
      </c>
      <c r="R773" s="50">
        <v>43.8</v>
      </c>
      <c r="S773" s="50">
        <v>16</v>
      </c>
      <c r="T773" s="50">
        <v>33</v>
      </c>
      <c r="U773" s="50">
        <v>13.3</v>
      </c>
      <c r="V773" s="50">
        <v>57.2</v>
      </c>
      <c r="W773" s="50">
        <v>52</v>
      </c>
      <c r="X773" s="50">
        <v>564</v>
      </c>
      <c r="Y773" s="50">
        <v>12.68</v>
      </c>
      <c r="Z773" s="50">
        <v>29.8</v>
      </c>
      <c r="AA773" s="50">
        <v>6.16</v>
      </c>
      <c r="AB773" s="50"/>
      <c r="AC773" s="50"/>
      <c r="AD773" s="50"/>
      <c r="AE773" s="50"/>
      <c r="AF773" s="50"/>
      <c r="AG773" s="50"/>
      <c r="AH773" s="50"/>
      <c r="AI773" s="50"/>
      <c r="AJ773" s="50"/>
    </row>
    <row r="774" spans="1:36" ht="15" customHeight="1" x14ac:dyDescent="0.25">
      <c r="A774" s="50">
        <v>155</v>
      </c>
      <c r="B774" s="50" t="s">
        <v>926</v>
      </c>
      <c r="C774" s="50" t="s">
        <v>1352</v>
      </c>
      <c r="D774" s="50">
        <v>34</v>
      </c>
      <c r="E774" s="50" t="s">
        <v>1353</v>
      </c>
      <c r="F774" s="50">
        <v>8</v>
      </c>
      <c r="G774" s="50">
        <v>6.5</v>
      </c>
      <c r="H774" s="50">
        <v>50</v>
      </c>
      <c r="I774" s="50">
        <v>3.03</v>
      </c>
      <c r="J774" s="50">
        <v>107</v>
      </c>
      <c r="K774" s="50">
        <v>94</v>
      </c>
      <c r="L774" s="50">
        <v>6.13</v>
      </c>
      <c r="M774" s="50">
        <v>6.3</v>
      </c>
      <c r="N774" s="50">
        <v>20</v>
      </c>
      <c r="O774" s="50">
        <v>13.3</v>
      </c>
      <c r="P774" s="50">
        <v>7.4</v>
      </c>
      <c r="Q774" s="50">
        <v>48.9</v>
      </c>
      <c r="R774" s="50">
        <v>43.4</v>
      </c>
      <c r="S774" s="50">
        <v>16.100000000000001</v>
      </c>
      <c r="T774" s="50">
        <v>37</v>
      </c>
      <c r="U774" s="50">
        <v>13.29</v>
      </c>
      <c r="V774" s="50">
        <v>57.3</v>
      </c>
      <c r="W774" s="50">
        <v>50</v>
      </c>
      <c r="X774" s="50">
        <v>549</v>
      </c>
      <c r="Y774" s="50">
        <v>12.87</v>
      </c>
      <c r="Z774" s="50">
        <v>30.5</v>
      </c>
      <c r="AA774" s="50">
        <v>6.24</v>
      </c>
      <c r="AB774" s="50"/>
      <c r="AC774" s="50"/>
      <c r="AD774" s="50"/>
      <c r="AE774" s="50"/>
      <c r="AF774" s="50"/>
      <c r="AG774" s="50"/>
      <c r="AH774" s="50"/>
      <c r="AI774" s="50"/>
      <c r="AJ774" s="50"/>
    </row>
    <row r="775" spans="1:36" ht="15" customHeight="1" x14ac:dyDescent="0.25">
      <c r="A775" s="50">
        <v>155</v>
      </c>
      <c r="B775" s="50" t="s">
        <v>926</v>
      </c>
      <c r="C775" s="50" t="s">
        <v>1352</v>
      </c>
      <c r="D775" s="50">
        <v>34</v>
      </c>
      <c r="E775" s="50" t="s">
        <v>1353</v>
      </c>
      <c r="F775" s="50">
        <v>12</v>
      </c>
      <c r="G775" s="50">
        <v>5.9</v>
      </c>
      <c r="H775" s="50">
        <v>49</v>
      </c>
      <c r="I775" s="50">
        <v>3</v>
      </c>
      <c r="J775" s="50">
        <v>103</v>
      </c>
      <c r="K775" s="50">
        <v>91</v>
      </c>
      <c r="L775" s="50">
        <v>5.3</v>
      </c>
      <c r="M775" s="50">
        <v>5.88</v>
      </c>
      <c r="N775" s="50">
        <v>21</v>
      </c>
      <c r="O775" s="50">
        <v>12.8</v>
      </c>
      <c r="P775" s="50">
        <v>7.8</v>
      </c>
      <c r="Q775" s="50">
        <v>45.7</v>
      </c>
      <c r="R775" s="50">
        <v>47.8</v>
      </c>
      <c r="S775" s="50">
        <v>17.600000000000001</v>
      </c>
      <c r="T775" s="50">
        <v>41</v>
      </c>
      <c r="U775" s="50">
        <v>12.3</v>
      </c>
      <c r="V775" s="50">
        <v>57.3</v>
      </c>
      <c r="W775" s="50">
        <v>53</v>
      </c>
      <c r="X775" s="50">
        <v>574</v>
      </c>
      <c r="Y775" s="50">
        <v>13.7</v>
      </c>
      <c r="Z775" s="50">
        <v>30.6</v>
      </c>
      <c r="AA775" s="50">
        <v>6.27</v>
      </c>
      <c r="AB775" s="50"/>
      <c r="AC775" s="50"/>
      <c r="AD775" s="50"/>
      <c r="AE775" s="50"/>
      <c r="AF775" s="50"/>
      <c r="AG775" s="50"/>
      <c r="AH775" s="50"/>
      <c r="AI775" s="50"/>
      <c r="AJ775" s="50"/>
    </row>
    <row r="776" spans="1:36" ht="15" customHeight="1" x14ac:dyDescent="0.25">
      <c r="A776" s="50">
        <v>155</v>
      </c>
      <c r="B776" s="50" t="s">
        <v>926</v>
      </c>
      <c r="C776" s="50" t="s">
        <v>1352</v>
      </c>
      <c r="D776" s="50">
        <v>34</v>
      </c>
      <c r="E776" s="50" t="s">
        <v>1353</v>
      </c>
      <c r="F776" s="50">
        <v>21</v>
      </c>
      <c r="G776" s="50">
        <v>5.5</v>
      </c>
      <c r="H776" s="50">
        <v>48</v>
      </c>
      <c r="I776" s="50">
        <v>2.76</v>
      </c>
      <c r="J776" s="50">
        <v>109</v>
      </c>
      <c r="K776" s="50">
        <v>85</v>
      </c>
      <c r="L776" s="50">
        <v>5.31</v>
      </c>
      <c r="M776" s="50">
        <v>5.53</v>
      </c>
      <c r="N776" s="50">
        <v>18</v>
      </c>
      <c r="O776" s="50">
        <v>11.1</v>
      </c>
      <c r="P776" s="50">
        <v>6.8</v>
      </c>
      <c r="Q776" s="50">
        <v>43.3</v>
      </c>
      <c r="R776" s="50">
        <v>48</v>
      </c>
      <c r="S776" s="50">
        <v>19.100000000000001</v>
      </c>
      <c r="T776" s="50">
        <v>43</v>
      </c>
      <c r="U776" s="50">
        <v>12.22</v>
      </c>
      <c r="V776" s="50">
        <v>59.5</v>
      </c>
      <c r="W776" s="50">
        <v>57</v>
      </c>
      <c r="X776" s="50">
        <v>542</v>
      </c>
      <c r="Y776" s="50">
        <v>12.61</v>
      </c>
      <c r="Z776" s="50">
        <v>32.9</v>
      </c>
      <c r="AA776" s="50">
        <v>6.23</v>
      </c>
      <c r="AB776" s="50"/>
      <c r="AC776" s="50"/>
      <c r="AD776" s="50"/>
      <c r="AE776" s="50"/>
      <c r="AF776" s="50"/>
      <c r="AG776" s="50"/>
      <c r="AH776" s="50"/>
      <c r="AI776" s="50"/>
      <c r="AJ776" s="50"/>
    </row>
    <row r="777" spans="1:36" ht="15" customHeight="1" x14ac:dyDescent="0.25">
      <c r="A777" s="50">
        <v>156</v>
      </c>
      <c r="B777" s="50" t="s">
        <v>926</v>
      </c>
      <c r="C777" s="50" t="s">
        <v>1357</v>
      </c>
      <c r="D777" s="50">
        <v>26</v>
      </c>
      <c r="E777" s="50" t="s">
        <v>1355</v>
      </c>
      <c r="F777" s="50">
        <v>0</v>
      </c>
      <c r="G777" s="50">
        <v>7.5</v>
      </c>
      <c r="H777" s="50">
        <v>49</v>
      </c>
      <c r="I777" s="50">
        <v>3.89</v>
      </c>
      <c r="J777" s="50">
        <v>83</v>
      </c>
      <c r="K777" s="50">
        <v>100</v>
      </c>
      <c r="L777" s="50">
        <v>6.57</v>
      </c>
      <c r="M777" s="50">
        <v>6.91</v>
      </c>
      <c r="N777" s="50">
        <v>47</v>
      </c>
      <c r="O777" s="50">
        <v>13.3</v>
      </c>
      <c r="P777" s="50">
        <v>12.3</v>
      </c>
      <c r="Q777" s="50">
        <v>47.3</v>
      </c>
      <c r="R777" s="50">
        <v>32</v>
      </c>
      <c r="S777" s="50">
        <v>14.4</v>
      </c>
      <c r="T777" s="50">
        <v>32</v>
      </c>
      <c r="U777" s="50">
        <v>13.81</v>
      </c>
      <c r="V777" s="50">
        <v>60.6</v>
      </c>
      <c r="W777" s="50">
        <v>57</v>
      </c>
      <c r="X777" s="50">
        <v>463</v>
      </c>
      <c r="Y777" s="50">
        <v>14.67</v>
      </c>
      <c r="Z777" s="50">
        <v>28.9</v>
      </c>
      <c r="AA777" s="50">
        <v>5.88</v>
      </c>
      <c r="AB777" s="50"/>
      <c r="AC777" s="50"/>
      <c r="AD777" s="50"/>
      <c r="AE777" s="50"/>
      <c r="AF777" s="50"/>
      <c r="AG777" s="50"/>
      <c r="AH777" s="50"/>
      <c r="AI777" s="50"/>
      <c r="AJ777" s="50"/>
    </row>
    <row r="778" spans="1:36" ht="15" customHeight="1" x14ac:dyDescent="0.25">
      <c r="A778" s="50">
        <v>156</v>
      </c>
      <c r="B778" s="50" t="s">
        <v>926</v>
      </c>
      <c r="C778" s="50" t="s">
        <v>1357</v>
      </c>
      <c r="D778" s="50">
        <v>26</v>
      </c>
      <c r="E778" s="50" t="s">
        <v>1355</v>
      </c>
      <c r="F778" s="50">
        <v>4</v>
      </c>
      <c r="G778" s="50">
        <v>7.4</v>
      </c>
      <c r="H778" s="50">
        <v>51</v>
      </c>
      <c r="I778" s="50">
        <v>3.82</v>
      </c>
      <c r="J778" s="50">
        <v>82</v>
      </c>
      <c r="K778" s="50">
        <v>97</v>
      </c>
      <c r="L778" s="50">
        <v>6.73</v>
      </c>
      <c r="M778" s="50">
        <v>6.67</v>
      </c>
      <c r="N778" s="50">
        <v>46</v>
      </c>
      <c r="O778" s="50">
        <v>13.1</v>
      </c>
      <c r="P778" s="50">
        <v>12.3</v>
      </c>
      <c r="Q778" s="50">
        <v>47.6</v>
      </c>
      <c r="R778" s="50">
        <v>33.6</v>
      </c>
      <c r="S778" s="50">
        <v>17.2</v>
      </c>
      <c r="T778" s="50">
        <v>34</v>
      </c>
      <c r="U778" s="50">
        <v>12.62</v>
      </c>
      <c r="V778" s="50">
        <v>61.5</v>
      </c>
      <c r="W778" s="50">
        <v>57</v>
      </c>
      <c r="X778" s="50">
        <v>467</v>
      </c>
      <c r="Y778" s="50">
        <v>14.71</v>
      </c>
      <c r="Z778" s="50">
        <v>29</v>
      </c>
      <c r="AA778" s="50">
        <v>5.71</v>
      </c>
      <c r="AB778" s="50"/>
      <c r="AC778" s="50"/>
      <c r="AD778" s="50"/>
      <c r="AE778" s="50"/>
      <c r="AF778" s="50"/>
      <c r="AG778" s="50"/>
      <c r="AH778" s="50"/>
      <c r="AI778" s="50"/>
      <c r="AJ778" s="50"/>
    </row>
    <row r="779" spans="1:36" ht="15" customHeight="1" x14ac:dyDescent="0.25">
      <c r="A779" s="50">
        <v>156</v>
      </c>
      <c r="B779" s="50" t="s">
        <v>926</v>
      </c>
      <c r="C779" s="50" t="s">
        <v>1357</v>
      </c>
      <c r="D779" s="50">
        <v>26</v>
      </c>
      <c r="E779" s="50" t="s">
        <v>1355</v>
      </c>
      <c r="F779" s="50">
        <v>8</v>
      </c>
      <c r="G779" s="50">
        <v>7</v>
      </c>
      <c r="H779" s="50">
        <v>51</v>
      </c>
      <c r="I779" s="50">
        <v>3.62</v>
      </c>
      <c r="J779" s="50">
        <v>85</v>
      </c>
      <c r="K779" s="50">
        <v>94</v>
      </c>
      <c r="L779" s="50">
        <v>6.29</v>
      </c>
      <c r="M779" s="50">
        <v>6.41</v>
      </c>
      <c r="N779" s="50">
        <v>44</v>
      </c>
      <c r="O779" s="50">
        <v>12.8</v>
      </c>
      <c r="P779" s="50">
        <v>12.6</v>
      </c>
      <c r="Q779" s="50">
        <v>46.1</v>
      </c>
      <c r="R779" s="50">
        <v>33.4</v>
      </c>
      <c r="S779" s="50">
        <v>17.7</v>
      </c>
      <c r="T779" s="50">
        <v>39</v>
      </c>
      <c r="U779" s="50">
        <v>12.6</v>
      </c>
      <c r="V779" s="50">
        <v>61.7</v>
      </c>
      <c r="W779" s="50">
        <v>58</v>
      </c>
      <c r="X779" s="50">
        <v>460</v>
      </c>
      <c r="Y779" s="50">
        <v>14.15</v>
      </c>
      <c r="Z779" s="50">
        <v>31.2</v>
      </c>
      <c r="AA779" s="50">
        <v>5.74</v>
      </c>
      <c r="AB779" s="50"/>
      <c r="AC779" s="50"/>
      <c r="AD779" s="50"/>
      <c r="AE779" s="50"/>
      <c r="AF779" s="50"/>
      <c r="AG779" s="50"/>
      <c r="AH779" s="50"/>
      <c r="AI779" s="50"/>
      <c r="AJ779" s="50"/>
    </row>
    <row r="780" spans="1:36" ht="15" customHeight="1" x14ac:dyDescent="0.25">
      <c r="A780" s="50">
        <v>156</v>
      </c>
      <c r="B780" s="50" t="s">
        <v>926</v>
      </c>
      <c r="C780" s="50" t="s">
        <v>1357</v>
      </c>
      <c r="D780" s="50">
        <v>26</v>
      </c>
      <c r="E780" s="50" t="s">
        <v>1355</v>
      </c>
      <c r="F780" s="50">
        <v>12</v>
      </c>
      <c r="G780" s="50">
        <v>6.7</v>
      </c>
      <c r="H780" s="50">
        <v>49</v>
      </c>
      <c r="I780" s="50">
        <v>3.63</v>
      </c>
      <c r="J780" s="50">
        <v>92</v>
      </c>
      <c r="K780" s="50">
        <v>91</v>
      </c>
      <c r="L780" s="50">
        <v>5.8</v>
      </c>
      <c r="M780" s="50">
        <v>6.19</v>
      </c>
      <c r="N780" s="50">
        <v>42</v>
      </c>
      <c r="O780" s="50">
        <v>12.1</v>
      </c>
      <c r="P780" s="50">
        <v>11.7</v>
      </c>
      <c r="Q780" s="50">
        <v>46.7</v>
      </c>
      <c r="R780" s="50">
        <v>36.200000000000003</v>
      </c>
      <c r="S780" s="50">
        <v>21.7</v>
      </c>
      <c r="T780" s="50">
        <v>37</v>
      </c>
      <c r="U780" s="50">
        <v>12.53</v>
      </c>
      <c r="V780" s="50">
        <v>63.7</v>
      </c>
      <c r="W780" s="50">
        <v>58</v>
      </c>
      <c r="X780" s="50">
        <v>466</v>
      </c>
      <c r="Y780" s="50">
        <v>13.43</v>
      </c>
      <c r="Z780" s="50">
        <v>30.7</v>
      </c>
      <c r="AA780" s="50">
        <v>5.95</v>
      </c>
      <c r="AB780" s="50"/>
      <c r="AC780" s="50"/>
      <c r="AD780" s="50"/>
      <c r="AE780" s="50"/>
      <c r="AF780" s="50"/>
      <c r="AG780" s="50"/>
      <c r="AH780" s="50"/>
      <c r="AI780" s="50"/>
      <c r="AJ780" s="50"/>
    </row>
    <row r="781" spans="1:36" ht="15" customHeight="1" x14ac:dyDescent="0.25">
      <c r="A781" s="50">
        <v>156</v>
      </c>
      <c r="B781" s="50" t="s">
        <v>926</v>
      </c>
      <c r="C781" s="50" t="s">
        <v>1357</v>
      </c>
      <c r="D781" s="50">
        <v>26</v>
      </c>
      <c r="E781" s="50" t="s">
        <v>1355</v>
      </c>
      <c r="F781" s="50">
        <v>21</v>
      </c>
      <c r="G781" s="50">
        <v>5.7</v>
      </c>
      <c r="H781" s="50">
        <v>47</v>
      </c>
      <c r="I781" s="50">
        <v>3.3</v>
      </c>
      <c r="J781" s="50">
        <v>91</v>
      </c>
      <c r="K781" s="50">
        <v>85</v>
      </c>
      <c r="L781" s="50">
        <v>5.37</v>
      </c>
      <c r="M781" s="50">
        <v>5.28</v>
      </c>
      <c r="N781" s="50">
        <v>40</v>
      </c>
      <c r="O781" s="50">
        <v>10.9</v>
      </c>
      <c r="P781" s="50">
        <v>10.7</v>
      </c>
      <c r="Q781" s="50">
        <v>41.2</v>
      </c>
      <c r="R781" s="50">
        <v>42</v>
      </c>
      <c r="S781" s="50">
        <v>24.9</v>
      </c>
      <c r="T781" s="50">
        <v>47</v>
      </c>
      <c r="U781" s="50">
        <v>10.74</v>
      </c>
      <c r="V781" s="50">
        <v>63.5</v>
      </c>
      <c r="W781" s="50">
        <v>61</v>
      </c>
      <c r="X781" s="50">
        <v>485</v>
      </c>
      <c r="Y781" s="50">
        <v>13.06</v>
      </c>
      <c r="Z781" s="50">
        <v>33.4</v>
      </c>
      <c r="AA781" s="50">
        <v>5.96</v>
      </c>
      <c r="AB781" s="50"/>
      <c r="AC781" s="50"/>
      <c r="AD781" s="50"/>
      <c r="AE781" s="50"/>
      <c r="AF781" s="50"/>
      <c r="AG781" s="50"/>
      <c r="AH781" s="50"/>
      <c r="AI781" s="50"/>
      <c r="AJ781" s="50"/>
    </row>
    <row r="782" spans="1:36" ht="15" customHeight="1" x14ac:dyDescent="0.25">
      <c r="A782" s="50">
        <v>157</v>
      </c>
      <c r="B782" s="50" t="s">
        <v>926</v>
      </c>
      <c r="C782" s="50" t="s">
        <v>1352</v>
      </c>
      <c r="D782" s="50">
        <v>40</v>
      </c>
      <c r="E782" s="50" t="s">
        <v>1360</v>
      </c>
      <c r="F782" s="50">
        <v>0</v>
      </c>
      <c r="G782" s="50">
        <v>7.3</v>
      </c>
      <c r="H782" s="50">
        <v>41</v>
      </c>
      <c r="I782" s="50">
        <v>3.76</v>
      </c>
      <c r="J782" s="50">
        <v>84</v>
      </c>
      <c r="K782" s="50">
        <v>100</v>
      </c>
      <c r="L782" s="50">
        <v>6.28</v>
      </c>
      <c r="M782" s="50">
        <v>7.02</v>
      </c>
      <c r="N782" s="50">
        <v>53</v>
      </c>
      <c r="O782" s="50">
        <v>13.6</v>
      </c>
      <c r="P782" s="50">
        <v>11.2</v>
      </c>
      <c r="Q782" s="50">
        <v>60.6</v>
      </c>
      <c r="R782" s="50">
        <v>29.4</v>
      </c>
      <c r="S782" s="50">
        <v>15.7</v>
      </c>
      <c r="T782" s="50">
        <v>29</v>
      </c>
      <c r="U782" s="50">
        <v>6.15</v>
      </c>
      <c r="V782" s="50">
        <v>63.3</v>
      </c>
      <c r="W782" s="50">
        <v>42</v>
      </c>
      <c r="X782" s="50">
        <v>339</v>
      </c>
      <c r="Y782" s="50">
        <v>13.3</v>
      </c>
      <c r="Z782" s="50">
        <v>17</v>
      </c>
      <c r="AA782" s="50">
        <v>4.83</v>
      </c>
      <c r="AB782" s="50"/>
      <c r="AC782" s="50"/>
      <c r="AD782" s="50"/>
      <c r="AE782" s="50"/>
      <c r="AF782" s="50"/>
      <c r="AG782" s="50"/>
      <c r="AH782" s="50"/>
      <c r="AI782" s="50"/>
      <c r="AJ782" s="50"/>
    </row>
    <row r="783" spans="1:36" ht="15" customHeight="1" x14ac:dyDescent="0.25">
      <c r="A783" s="50">
        <v>157</v>
      </c>
      <c r="B783" s="50" t="s">
        <v>926</v>
      </c>
      <c r="C783" s="50" t="s">
        <v>1352</v>
      </c>
      <c r="D783" s="50">
        <v>40</v>
      </c>
      <c r="E783" s="50" t="s">
        <v>1360</v>
      </c>
      <c r="F783" s="50">
        <v>4</v>
      </c>
      <c r="G783" s="50">
        <v>6.9</v>
      </c>
      <c r="H783" s="50">
        <v>43</v>
      </c>
      <c r="I783" s="50">
        <v>3.59</v>
      </c>
      <c r="J783" s="50">
        <v>81</v>
      </c>
      <c r="K783" s="50">
        <v>97</v>
      </c>
      <c r="L783" s="50">
        <v>5.92</v>
      </c>
      <c r="M783" s="50">
        <v>6.74</v>
      </c>
      <c r="N783" s="50">
        <v>51</v>
      </c>
      <c r="O783" s="50">
        <v>12.2</v>
      </c>
      <c r="P783" s="50">
        <v>11.2</v>
      </c>
      <c r="Q783" s="50">
        <v>57.2</v>
      </c>
      <c r="R783" s="50">
        <v>30.7</v>
      </c>
      <c r="S783" s="50">
        <v>17.2</v>
      </c>
      <c r="T783" s="50">
        <v>30</v>
      </c>
      <c r="U783" s="50">
        <v>6.12</v>
      </c>
      <c r="V783" s="50">
        <v>63.7</v>
      </c>
      <c r="W783" s="50">
        <v>46</v>
      </c>
      <c r="X783" s="50">
        <v>366</v>
      </c>
      <c r="Y783" s="50">
        <v>12.57</v>
      </c>
      <c r="Z783" s="50">
        <v>18.7</v>
      </c>
      <c r="AA783" s="50">
        <v>5.21</v>
      </c>
      <c r="AB783" s="50"/>
      <c r="AC783" s="50"/>
      <c r="AD783" s="50"/>
      <c r="AE783" s="50"/>
      <c r="AF783" s="50"/>
      <c r="AG783" s="50"/>
      <c r="AH783" s="50"/>
      <c r="AI783" s="50"/>
      <c r="AJ783" s="50"/>
    </row>
    <row r="784" spans="1:36" ht="15" customHeight="1" x14ac:dyDescent="0.25">
      <c r="A784" s="50">
        <v>157</v>
      </c>
      <c r="B784" s="50" t="s">
        <v>926</v>
      </c>
      <c r="C784" s="50" t="s">
        <v>1352</v>
      </c>
      <c r="D784" s="50">
        <v>40</v>
      </c>
      <c r="E784" s="50" t="s">
        <v>1360</v>
      </c>
      <c r="F784" s="50">
        <v>8</v>
      </c>
      <c r="G784" s="50">
        <v>6.5</v>
      </c>
      <c r="H784" s="50">
        <v>39</v>
      </c>
      <c r="I784" s="50">
        <v>3.52</v>
      </c>
      <c r="J784" s="50">
        <v>83</v>
      </c>
      <c r="K784" s="50">
        <v>94</v>
      </c>
      <c r="L784" s="50">
        <v>5.62</v>
      </c>
      <c r="M784" s="50">
        <v>6.4</v>
      </c>
      <c r="N784" s="50">
        <v>51</v>
      </c>
      <c r="O784" s="50">
        <v>11.6</v>
      </c>
      <c r="P784" s="50">
        <v>9.9</v>
      </c>
      <c r="Q784" s="50">
        <v>50.2</v>
      </c>
      <c r="R784" s="50">
        <v>32.700000000000003</v>
      </c>
      <c r="S784" s="50">
        <v>17</v>
      </c>
      <c r="T784" s="50">
        <v>32</v>
      </c>
      <c r="U784" s="50">
        <v>6.26</v>
      </c>
      <c r="V784" s="50">
        <v>65.8</v>
      </c>
      <c r="W784" s="50">
        <v>48</v>
      </c>
      <c r="X784" s="50">
        <v>372</v>
      </c>
      <c r="Y784" s="50">
        <v>11.97</v>
      </c>
      <c r="Z784" s="50">
        <v>20.2</v>
      </c>
      <c r="AA784" s="50">
        <v>5.33</v>
      </c>
      <c r="AB784" s="50"/>
      <c r="AC784" s="50"/>
      <c r="AD784" s="50"/>
      <c r="AE784" s="50"/>
      <c r="AF784" s="50"/>
      <c r="AG784" s="50"/>
      <c r="AH784" s="50"/>
      <c r="AI784" s="50"/>
      <c r="AJ784" s="50"/>
    </row>
    <row r="785" spans="1:36" ht="15" customHeight="1" x14ac:dyDescent="0.25">
      <c r="A785" s="50">
        <v>157</v>
      </c>
      <c r="B785" s="50" t="s">
        <v>926</v>
      </c>
      <c r="C785" s="50" t="s">
        <v>1352</v>
      </c>
      <c r="D785" s="50">
        <v>40</v>
      </c>
      <c r="E785" s="50" t="s">
        <v>1360</v>
      </c>
      <c r="F785" s="50">
        <v>12</v>
      </c>
      <c r="G785" s="50">
        <v>6.1</v>
      </c>
      <c r="H785" s="50">
        <v>39</v>
      </c>
      <c r="I785" s="50">
        <v>3.4</v>
      </c>
      <c r="J785" s="50">
        <v>88</v>
      </c>
      <c r="K785" s="50">
        <v>91</v>
      </c>
      <c r="L785" s="50">
        <v>5.46</v>
      </c>
      <c r="M785" s="50">
        <v>5.89</v>
      </c>
      <c r="N785" s="50">
        <v>48</v>
      </c>
      <c r="O785" s="50">
        <v>11.8</v>
      </c>
      <c r="P785" s="50">
        <v>9.6999999999999993</v>
      </c>
      <c r="Q785" s="50">
        <v>53.9</v>
      </c>
      <c r="R785" s="50">
        <v>35.799999999999997</v>
      </c>
      <c r="S785" s="50">
        <v>20.3</v>
      </c>
      <c r="T785" s="50">
        <v>39</v>
      </c>
      <c r="U785" s="50">
        <v>6.15</v>
      </c>
      <c r="V785" s="50">
        <v>62.9</v>
      </c>
      <c r="W785" s="50">
        <v>52</v>
      </c>
      <c r="X785" s="50">
        <v>387</v>
      </c>
      <c r="Y785" s="50">
        <v>11.8</v>
      </c>
      <c r="Z785" s="50">
        <v>21.1</v>
      </c>
      <c r="AA785" s="50">
        <v>5.27</v>
      </c>
      <c r="AB785" s="50"/>
      <c r="AC785" s="50"/>
      <c r="AD785" s="50"/>
      <c r="AE785" s="50"/>
      <c r="AF785" s="50"/>
      <c r="AG785" s="50"/>
      <c r="AH785" s="50"/>
      <c r="AI785" s="50"/>
      <c r="AJ785" s="50"/>
    </row>
    <row r="786" spans="1:36" ht="15" customHeight="1" x14ac:dyDescent="0.25">
      <c r="A786" s="50">
        <v>157</v>
      </c>
      <c r="B786" s="50" t="s">
        <v>926</v>
      </c>
      <c r="C786" s="50" t="s">
        <v>1352</v>
      </c>
      <c r="D786" s="50">
        <v>40</v>
      </c>
      <c r="E786" s="50" t="s">
        <v>1360</v>
      </c>
      <c r="F786" s="50">
        <v>21</v>
      </c>
      <c r="G786" s="50">
        <v>5.4</v>
      </c>
      <c r="H786" s="50">
        <v>37</v>
      </c>
      <c r="I786" s="50">
        <v>3.07</v>
      </c>
      <c r="J786" s="50">
        <v>91</v>
      </c>
      <c r="K786" s="50">
        <v>85</v>
      </c>
      <c r="L786" s="50">
        <v>5.19</v>
      </c>
      <c r="M786" s="50">
        <v>5.49</v>
      </c>
      <c r="N786" s="50">
        <v>49</v>
      </c>
      <c r="O786" s="50">
        <v>11.2</v>
      </c>
      <c r="P786" s="50">
        <v>9.4</v>
      </c>
      <c r="Q786" s="50">
        <v>44.2</v>
      </c>
      <c r="R786" s="50">
        <v>32.9</v>
      </c>
      <c r="S786" s="50">
        <v>23.1</v>
      </c>
      <c r="T786" s="50">
        <v>48</v>
      </c>
      <c r="U786" s="50">
        <v>6.89</v>
      </c>
      <c r="V786" s="50">
        <v>63.3</v>
      </c>
      <c r="W786" s="50">
        <v>50</v>
      </c>
      <c r="X786" s="50">
        <v>397</v>
      </c>
      <c r="Y786" s="50">
        <v>11.24</v>
      </c>
      <c r="Z786" s="50">
        <v>25.1</v>
      </c>
      <c r="AA786" s="50">
        <v>5.58</v>
      </c>
      <c r="AB786" s="50"/>
      <c r="AC786" s="50"/>
      <c r="AD786" s="50"/>
      <c r="AE786" s="50"/>
      <c r="AF786" s="50"/>
      <c r="AG786" s="50"/>
      <c r="AH786" s="50"/>
      <c r="AI786" s="50"/>
      <c r="AJ786" s="50"/>
    </row>
    <row r="787" spans="1:36" ht="15" customHeight="1" x14ac:dyDescent="0.25">
      <c r="A787" s="50">
        <v>158</v>
      </c>
      <c r="B787" s="50" t="s">
        <v>926</v>
      </c>
      <c r="C787" s="50" t="s">
        <v>1357</v>
      </c>
      <c r="D787" s="50">
        <v>43</v>
      </c>
      <c r="E787" s="50" t="s">
        <v>1355</v>
      </c>
      <c r="F787" s="50">
        <v>0</v>
      </c>
      <c r="G787" s="50">
        <v>6.7</v>
      </c>
      <c r="H787" s="50">
        <v>57</v>
      </c>
      <c r="I787" s="50">
        <v>3.32</v>
      </c>
      <c r="J787" s="50">
        <v>99</v>
      </c>
      <c r="K787" s="50">
        <v>100</v>
      </c>
      <c r="L787" s="50">
        <v>6.6</v>
      </c>
      <c r="M787" s="50">
        <v>4.72</v>
      </c>
      <c r="N787" s="50">
        <v>43</v>
      </c>
      <c r="O787" s="50">
        <v>16.2</v>
      </c>
      <c r="P787" s="50">
        <v>12.8</v>
      </c>
      <c r="Q787" s="50">
        <v>48</v>
      </c>
      <c r="R787" s="50">
        <v>30.3</v>
      </c>
      <c r="S787" s="50">
        <v>14.8</v>
      </c>
      <c r="T787" s="50">
        <v>39</v>
      </c>
      <c r="U787" s="50">
        <v>11.09</v>
      </c>
      <c r="V787" s="50">
        <v>59.9</v>
      </c>
      <c r="W787" s="50">
        <v>48</v>
      </c>
      <c r="X787" s="50">
        <v>406</v>
      </c>
      <c r="Y787" s="50">
        <v>11.18</v>
      </c>
      <c r="Z787" s="50">
        <v>20</v>
      </c>
      <c r="AA787" s="50">
        <v>5.71</v>
      </c>
      <c r="AB787" s="50"/>
      <c r="AC787" s="50"/>
      <c r="AD787" s="50"/>
      <c r="AE787" s="50"/>
      <c r="AF787" s="50"/>
      <c r="AG787" s="50"/>
      <c r="AH787" s="50"/>
      <c r="AI787" s="50"/>
      <c r="AJ787" s="50"/>
    </row>
    <row r="788" spans="1:36" ht="15" customHeight="1" x14ac:dyDescent="0.25">
      <c r="A788" s="50">
        <v>158</v>
      </c>
      <c r="B788" s="50" t="s">
        <v>926</v>
      </c>
      <c r="C788" s="50" t="s">
        <v>1357</v>
      </c>
      <c r="D788" s="50">
        <v>43</v>
      </c>
      <c r="E788" s="50" t="s">
        <v>1355</v>
      </c>
      <c r="F788" s="50">
        <v>4</v>
      </c>
      <c r="G788" s="50">
        <v>6.4</v>
      </c>
      <c r="H788" s="50">
        <v>56</v>
      </c>
      <c r="I788" s="50">
        <v>3.21</v>
      </c>
      <c r="J788" s="50">
        <v>102</v>
      </c>
      <c r="K788" s="50">
        <v>97</v>
      </c>
      <c r="L788" s="50">
        <v>6.56</v>
      </c>
      <c r="M788" s="50">
        <v>4.62</v>
      </c>
      <c r="N788" s="50">
        <v>43</v>
      </c>
      <c r="O788" s="50">
        <v>16.8</v>
      </c>
      <c r="P788" s="50">
        <v>11.8</v>
      </c>
      <c r="Q788" s="50">
        <v>45.4</v>
      </c>
      <c r="R788" s="50">
        <v>32.6</v>
      </c>
      <c r="S788" s="50">
        <v>17.899999999999999</v>
      </c>
      <c r="T788" s="50">
        <v>40</v>
      </c>
      <c r="U788" s="50">
        <v>10.41</v>
      </c>
      <c r="V788" s="50">
        <v>61.3</v>
      </c>
      <c r="W788" s="50">
        <v>50</v>
      </c>
      <c r="X788" s="50">
        <v>418</v>
      </c>
      <c r="Y788" s="50">
        <v>11.06</v>
      </c>
      <c r="Z788" s="50">
        <v>21.7</v>
      </c>
      <c r="AA788" s="50">
        <v>5.71</v>
      </c>
      <c r="AB788" s="50"/>
      <c r="AC788" s="50"/>
      <c r="AD788" s="50"/>
      <c r="AE788" s="50"/>
      <c r="AF788" s="50"/>
      <c r="AG788" s="50"/>
      <c r="AH788" s="50"/>
      <c r="AI788" s="50"/>
      <c r="AJ788" s="50"/>
    </row>
    <row r="789" spans="1:36" ht="15" customHeight="1" x14ac:dyDescent="0.25">
      <c r="A789" s="50">
        <v>158</v>
      </c>
      <c r="B789" s="50" t="s">
        <v>926</v>
      </c>
      <c r="C789" s="50" t="s">
        <v>1357</v>
      </c>
      <c r="D789" s="50">
        <v>43</v>
      </c>
      <c r="E789" s="50" t="s">
        <v>1355</v>
      </c>
      <c r="F789" s="50">
        <v>8</v>
      </c>
      <c r="G789" s="50">
        <v>6</v>
      </c>
      <c r="H789" s="50">
        <v>56</v>
      </c>
      <c r="I789" s="50">
        <v>3.14</v>
      </c>
      <c r="J789" s="50">
        <v>104</v>
      </c>
      <c r="K789" s="50">
        <v>94</v>
      </c>
      <c r="L789" s="50">
        <v>5.92</v>
      </c>
      <c r="M789" s="50">
        <v>4.3</v>
      </c>
      <c r="N789" s="50">
        <v>39</v>
      </c>
      <c r="O789" s="50">
        <v>15.5</v>
      </c>
      <c r="P789" s="50">
        <v>12.1</v>
      </c>
      <c r="Q789" s="50">
        <v>43.8</v>
      </c>
      <c r="R789" s="50">
        <v>34.299999999999997</v>
      </c>
      <c r="S789" s="50">
        <v>20.100000000000001</v>
      </c>
      <c r="T789" s="50">
        <v>43</v>
      </c>
      <c r="U789" s="50">
        <v>11.06</v>
      </c>
      <c r="V789" s="50">
        <v>61.4</v>
      </c>
      <c r="W789" s="50">
        <v>50</v>
      </c>
      <c r="X789" s="50">
        <v>413</v>
      </c>
      <c r="Y789" s="50">
        <v>10.98</v>
      </c>
      <c r="Z789" s="50">
        <v>22.9</v>
      </c>
      <c r="AA789" s="50">
        <v>5.92</v>
      </c>
      <c r="AB789" s="50"/>
      <c r="AC789" s="50"/>
      <c r="AD789" s="50"/>
      <c r="AE789" s="50"/>
      <c r="AF789" s="50"/>
      <c r="AG789" s="50"/>
      <c r="AH789" s="50"/>
      <c r="AI789" s="50"/>
      <c r="AJ789" s="50"/>
    </row>
    <row r="790" spans="1:36" ht="15" customHeight="1" x14ac:dyDescent="0.25">
      <c r="A790" s="50">
        <v>158</v>
      </c>
      <c r="B790" s="50" t="s">
        <v>926</v>
      </c>
      <c r="C790" s="50" t="s">
        <v>1357</v>
      </c>
      <c r="D790" s="50">
        <v>43</v>
      </c>
      <c r="E790" s="50" t="s">
        <v>1355</v>
      </c>
      <c r="F790" s="50">
        <v>12</v>
      </c>
      <c r="G790" s="50">
        <v>5.8</v>
      </c>
      <c r="H790" s="50">
        <v>55</v>
      </c>
      <c r="I790" s="50">
        <v>2.99</v>
      </c>
      <c r="J790" s="50">
        <v>102</v>
      </c>
      <c r="K790" s="50">
        <v>91</v>
      </c>
      <c r="L790" s="50">
        <v>5.92</v>
      </c>
      <c r="M790" s="50">
        <v>4.49</v>
      </c>
      <c r="N790" s="50">
        <v>41</v>
      </c>
      <c r="O790" s="50">
        <v>14.1</v>
      </c>
      <c r="P790" s="50">
        <v>11.7</v>
      </c>
      <c r="Q790" s="50">
        <v>42.1</v>
      </c>
      <c r="R790" s="50">
        <v>36.6</v>
      </c>
      <c r="S790" s="50">
        <v>19.399999999999999</v>
      </c>
      <c r="T790" s="50">
        <v>45</v>
      </c>
      <c r="U790" s="50">
        <v>10.33</v>
      </c>
      <c r="V790" s="50">
        <v>62.5</v>
      </c>
      <c r="W790" s="50">
        <v>52</v>
      </c>
      <c r="X790" s="50">
        <v>431</v>
      </c>
      <c r="Y790" s="50">
        <v>10.81</v>
      </c>
      <c r="Z790" s="50">
        <v>22.3</v>
      </c>
      <c r="AA790" s="50">
        <v>5.98</v>
      </c>
      <c r="AB790" s="50"/>
      <c r="AC790" s="50"/>
      <c r="AD790" s="50"/>
      <c r="AE790" s="50"/>
      <c r="AF790" s="50"/>
      <c r="AG790" s="50"/>
      <c r="AH790" s="50"/>
      <c r="AI790" s="50"/>
      <c r="AJ790" s="50"/>
    </row>
    <row r="791" spans="1:36" ht="15" customHeight="1" x14ac:dyDescent="0.25">
      <c r="A791" s="50">
        <v>158</v>
      </c>
      <c r="B791" s="50" t="s">
        <v>926</v>
      </c>
      <c r="C791" s="50" t="s">
        <v>1357</v>
      </c>
      <c r="D791" s="50">
        <v>43</v>
      </c>
      <c r="E791" s="50" t="s">
        <v>1355</v>
      </c>
      <c r="F791" s="50">
        <v>21</v>
      </c>
      <c r="G791" s="50">
        <v>5.0999999999999996</v>
      </c>
      <c r="H791" s="50">
        <v>54</v>
      </c>
      <c r="I791" s="50">
        <v>2.85</v>
      </c>
      <c r="J791" s="50">
        <v>111</v>
      </c>
      <c r="K791" s="50">
        <v>85</v>
      </c>
      <c r="L791" s="50">
        <v>5.42</v>
      </c>
      <c r="M791" s="50">
        <v>4.2300000000000004</v>
      </c>
      <c r="N791" s="50">
        <v>35</v>
      </c>
      <c r="O791" s="50">
        <v>14.8</v>
      </c>
      <c r="P791" s="50">
        <v>11.6</v>
      </c>
      <c r="Q791" s="50">
        <v>37.5</v>
      </c>
      <c r="R791" s="50">
        <v>36.9</v>
      </c>
      <c r="S791" s="50">
        <v>25</v>
      </c>
      <c r="T791" s="50">
        <v>49</v>
      </c>
      <c r="U791" s="50">
        <v>9.73</v>
      </c>
      <c r="V791" s="50">
        <v>64.599999999999994</v>
      </c>
      <c r="W791" s="50">
        <v>54</v>
      </c>
      <c r="X791" s="50">
        <v>437</v>
      </c>
      <c r="Y791" s="50">
        <v>10.199999999999999</v>
      </c>
      <c r="Z791" s="50">
        <v>28.3</v>
      </c>
      <c r="AA791" s="50">
        <v>5.98</v>
      </c>
      <c r="AB791" s="50"/>
      <c r="AC791" s="50"/>
      <c r="AD791" s="50"/>
      <c r="AE791" s="50"/>
      <c r="AF791" s="50"/>
      <c r="AG791" s="50"/>
      <c r="AH791" s="50"/>
      <c r="AI791" s="50"/>
      <c r="AJ791" s="50"/>
    </row>
    <row r="792" spans="1:36" ht="15" customHeight="1" x14ac:dyDescent="0.25">
      <c r="A792" s="50">
        <v>159</v>
      </c>
      <c r="B792" s="50" t="s">
        <v>926</v>
      </c>
      <c r="C792" s="50" t="s">
        <v>1352</v>
      </c>
      <c r="D792" s="50">
        <v>25</v>
      </c>
      <c r="E792" s="50" t="s">
        <v>1360</v>
      </c>
      <c r="F792" s="50">
        <v>0</v>
      </c>
      <c r="G792" s="50">
        <v>6.4</v>
      </c>
      <c r="H792" s="50">
        <v>46</v>
      </c>
      <c r="I792" s="50">
        <v>3.38</v>
      </c>
      <c r="J792" s="50">
        <v>82</v>
      </c>
      <c r="K792" s="50">
        <v>100</v>
      </c>
      <c r="L792" s="50">
        <v>7.62</v>
      </c>
      <c r="M792" s="50">
        <v>6.67</v>
      </c>
      <c r="N792" s="50">
        <v>43</v>
      </c>
      <c r="O792" s="50">
        <v>12.4</v>
      </c>
      <c r="P792" s="50">
        <v>11.6</v>
      </c>
      <c r="Q792" s="50">
        <v>47.4</v>
      </c>
      <c r="R792" s="50">
        <v>43.6</v>
      </c>
      <c r="S792" s="50">
        <v>23</v>
      </c>
      <c r="T792" s="50">
        <v>20</v>
      </c>
      <c r="U792" s="50">
        <v>11.41</v>
      </c>
      <c r="V792" s="50">
        <v>60.4</v>
      </c>
      <c r="W792" s="50">
        <v>32</v>
      </c>
      <c r="X792" s="50">
        <v>385</v>
      </c>
      <c r="Y792" s="50">
        <v>16.46</v>
      </c>
      <c r="Z792" s="50">
        <v>28.4</v>
      </c>
      <c r="AA792" s="50">
        <v>5.41</v>
      </c>
      <c r="AB792" s="50"/>
      <c r="AC792" s="50"/>
      <c r="AD792" s="50"/>
      <c r="AE792" s="50"/>
      <c r="AF792" s="50"/>
      <c r="AG792" s="50"/>
      <c r="AH792" s="50"/>
      <c r="AI792" s="50"/>
      <c r="AJ792" s="50"/>
    </row>
    <row r="793" spans="1:36" ht="15" customHeight="1" x14ac:dyDescent="0.25">
      <c r="A793" s="50">
        <v>159</v>
      </c>
      <c r="B793" s="50" t="s">
        <v>926</v>
      </c>
      <c r="C793" s="50" t="s">
        <v>1352</v>
      </c>
      <c r="D793" s="50">
        <v>25</v>
      </c>
      <c r="E793" s="50" t="s">
        <v>1360</v>
      </c>
      <c r="F793" s="50">
        <v>4</v>
      </c>
      <c r="G793" s="50">
        <v>6.3</v>
      </c>
      <c r="H793" s="50">
        <v>46</v>
      </c>
      <c r="I793" s="50">
        <v>3.24</v>
      </c>
      <c r="J793" s="50">
        <v>84</v>
      </c>
      <c r="K793" s="50">
        <v>97</v>
      </c>
      <c r="L793" s="50">
        <v>7.37</v>
      </c>
      <c r="M793" s="50">
        <v>6.56</v>
      </c>
      <c r="N793" s="50">
        <v>43</v>
      </c>
      <c r="O793" s="50">
        <v>13</v>
      </c>
      <c r="P793" s="50">
        <v>11.6</v>
      </c>
      <c r="Q793" s="50">
        <v>46.9</v>
      </c>
      <c r="R793" s="50">
        <v>43.4</v>
      </c>
      <c r="S793" s="50">
        <v>23.3</v>
      </c>
      <c r="T793" s="50">
        <v>19</v>
      </c>
      <c r="U793" s="50">
        <v>12.19</v>
      </c>
      <c r="V793" s="50">
        <v>61.1</v>
      </c>
      <c r="W793" s="50">
        <v>33</v>
      </c>
      <c r="X793" s="50">
        <v>372</v>
      </c>
      <c r="Y793" s="50">
        <v>16.77</v>
      </c>
      <c r="Z793" s="50">
        <v>28.2</v>
      </c>
      <c r="AA793" s="50">
        <v>5.56</v>
      </c>
      <c r="AB793" s="50"/>
      <c r="AC793" s="50"/>
      <c r="AD793" s="50"/>
      <c r="AE793" s="50"/>
      <c r="AF793" s="50"/>
      <c r="AG793" s="50"/>
      <c r="AH793" s="50"/>
      <c r="AI793" s="50"/>
      <c r="AJ793" s="50"/>
    </row>
    <row r="794" spans="1:36" ht="15" customHeight="1" x14ac:dyDescent="0.25">
      <c r="A794" s="50">
        <v>159</v>
      </c>
      <c r="B794" s="50" t="s">
        <v>926</v>
      </c>
      <c r="C794" s="50" t="s">
        <v>1352</v>
      </c>
      <c r="D794" s="50">
        <v>25</v>
      </c>
      <c r="E794" s="50" t="s">
        <v>1360</v>
      </c>
      <c r="F794" s="50">
        <v>8</v>
      </c>
      <c r="G794" s="50">
        <v>5.6</v>
      </c>
      <c r="H794" s="50">
        <v>42</v>
      </c>
      <c r="I794" s="50">
        <v>3.12</v>
      </c>
      <c r="J794" s="50">
        <v>83</v>
      </c>
      <c r="K794" s="50">
        <v>94</v>
      </c>
      <c r="L794" s="50">
        <v>6.74</v>
      </c>
      <c r="M794" s="50">
        <v>6.32</v>
      </c>
      <c r="N794" s="50">
        <v>44</v>
      </c>
      <c r="O794" s="50">
        <v>11.5</v>
      </c>
      <c r="P794" s="50">
        <v>12</v>
      </c>
      <c r="Q794" s="50">
        <v>41.5</v>
      </c>
      <c r="R794" s="50">
        <v>48.9</v>
      </c>
      <c r="S794" s="50">
        <v>25.7</v>
      </c>
      <c r="T794" s="50">
        <v>29</v>
      </c>
      <c r="U794" s="50">
        <v>11.71</v>
      </c>
      <c r="V794" s="50">
        <v>62.7</v>
      </c>
      <c r="W794" s="50">
        <v>40</v>
      </c>
      <c r="X794" s="50">
        <v>414</v>
      </c>
      <c r="Y794" s="50">
        <v>15.19</v>
      </c>
      <c r="Z794" s="50">
        <v>28.9</v>
      </c>
      <c r="AA794" s="50">
        <v>5.51</v>
      </c>
      <c r="AB794" s="50"/>
      <c r="AC794" s="50"/>
      <c r="AD794" s="50"/>
      <c r="AE794" s="50"/>
      <c r="AF794" s="50"/>
      <c r="AG794" s="50"/>
      <c r="AH794" s="50"/>
      <c r="AI794" s="50"/>
      <c r="AJ794" s="50"/>
    </row>
    <row r="795" spans="1:36" ht="15" customHeight="1" x14ac:dyDescent="0.25">
      <c r="A795" s="50">
        <v>159</v>
      </c>
      <c r="B795" s="50" t="s">
        <v>926</v>
      </c>
      <c r="C795" s="50" t="s">
        <v>1352</v>
      </c>
      <c r="D795" s="50">
        <v>25</v>
      </c>
      <c r="E795" s="50" t="s">
        <v>1360</v>
      </c>
      <c r="F795" s="50">
        <v>12</v>
      </c>
      <c r="G795" s="50">
        <v>5.4</v>
      </c>
      <c r="H795" s="50">
        <v>41</v>
      </c>
      <c r="I795" s="50">
        <v>2.96</v>
      </c>
      <c r="J795" s="50">
        <v>85</v>
      </c>
      <c r="K795" s="50">
        <v>91</v>
      </c>
      <c r="L795" s="50">
        <v>6.57</v>
      </c>
      <c r="M795" s="50">
        <v>6.47</v>
      </c>
      <c r="N795" s="50">
        <v>41</v>
      </c>
      <c r="O795" s="50">
        <v>11.7</v>
      </c>
      <c r="P795" s="50">
        <v>10.199999999999999</v>
      </c>
      <c r="Q795" s="50">
        <v>40.1</v>
      </c>
      <c r="R795" s="50">
        <v>50.5</v>
      </c>
      <c r="S795" s="50">
        <v>23.2</v>
      </c>
      <c r="T795" s="50">
        <v>28</v>
      </c>
      <c r="U795" s="50">
        <v>11.94</v>
      </c>
      <c r="V795" s="50">
        <v>63.2</v>
      </c>
      <c r="W795" s="50">
        <v>42</v>
      </c>
      <c r="X795" s="50">
        <v>422</v>
      </c>
      <c r="Y795" s="50">
        <v>14.95</v>
      </c>
      <c r="Z795" s="50">
        <v>31.3</v>
      </c>
      <c r="AA795" s="50">
        <v>5.56</v>
      </c>
      <c r="AB795" s="50"/>
      <c r="AC795" s="50"/>
      <c r="AD795" s="50"/>
      <c r="AE795" s="50"/>
      <c r="AF795" s="50"/>
      <c r="AG795" s="50"/>
      <c r="AH795" s="50"/>
      <c r="AI795" s="50"/>
      <c r="AJ795" s="50"/>
    </row>
    <row r="796" spans="1:36" ht="15" customHeight="1" x14ac:dyDescent="0.25">
      <c r="A796" s="50">
        <v>159</v>
      </c>
      <c r="B796" s="50" t="s">
        <v>926</v>
      </c>
      <c r="C796" s="50" t="s">
        <v>1352</v>
      </c>
      <c r="D796" s="50">
        <v>25</v>
      </c>
      <c r="E796" s="50" t="s">
        <v>1360</v>
      </c>
      <c r="F796" s="50">
        <v>21</v>
      </c>
      <c r="G796" s="50">
        <v>4.9000000000000004</v>
      </c>
      <c r="H796" s="50">
        <v>42</v>
      </c>
      <c r="I796" s="50">
        <v>2.85</v>
      </c>
      <c r="J796" s="50">
        <v>92</v>
      </c>
      <c r="K796" s="50">
        <v>85</v>
      </c>
      <c r="L796" s="50">
        <v>5.91</v>
      </c>
      <c r="M796" s="50">
        <v>5.65</v>
      </c>
      <c r="N796" s="50">
        <v>36</v>
      </c>
      <c r="O796" s="50">
        <v>10.9</v>
      </c>
      <c r="P796" s="50">
        <v>9.6</v>
      </c>
      <c r="Q796" s="50">
        <v>39.5</v>
      </c>
      <c r="R796" s="50">
        <v>51.2</v>
      </c>
      <c r="S796" s="50">
        <v>24.5</v>
      </c>
      <c r="T796" s="50">
        <v>38</v>
      </c>
      <c r="U796" s="50">
        <v>10.9</v>
      </c>
      <c r="V796" s="50">
        <v>64</v>
      </c>
      <c r="W796" s="50">
        <v>45</v>
      </c>
      <c r="X796" s="50">
        <v>432</v>
      </c>
      <c r="Y796" s="50">
        <v>15.07</v>
      </c>
      <c r="Z796" s="50">
        <v>30.8</v>
      </c>
      <c r="AA796" s="50">
        <v>6.06</v>
      </c>
      <c r="AB796" s="50"/>
      <c r="AC796" s="50"/>
      <c r="AD796" s="50"/>
      <c r="AE796" s="50"/>
      <c r="AF796" s="50"/>
      <c r="AG796" s="50"/>
      <c r="AH796" s="50"/>
      <c r="AI796" s="50"/>
      <c r="AJ796" s="50"/>
    </row>
    <row r="797" spans="1:36" ht="15" customHeight="1" x14ac:dyDescent="0.25">
      <c r="A797" s="50">
        <v>160</v>
      </c>
      <c r="B797" s="50" t="s">
        <v>926</v>
      </c>
      <c r="C797" s="50" t="s">
        <v>1352</v>
      </c>
      <c r="D797" s="50">
        <v>24</v>
      </c>
      <c r="E797" s="50" t="s">
        <v>1359</v>
      </c>
      <c r="F797" s="50">
        <v>0</v>
      </c>
      <c r="G797" s="50">
        <v>7.4</v>
      </c>
      <c r="H797" s="50">
        <v>56</v>
      </c>
      <c r="I797" s="50">
        <v>3.48</v>
      </c>
      <c r="J797" s="50">
        <v>93</v>
      </c>
      <c r="K797" s="50">
        <v>100</v>
      </c>
      <c r="L797" s="50">
        <v>6.95</v>
      </c>
      <c r="M797" s="50">
        <v>5.87</v>
      </c>
      <c r="N797" s="50">
        <v>54</v>
      </c>
      <c r="O797" s="50">
        <v>11.5</v>
      </c>
      <c r="P797" s="50">
        <v>9.3000000000000007</v>
      </c>
      <c r="Q797" s="50">
        <v>50.9</v>
      </c>
      <c r="R797" s="50">
        <v>36.200000000000003</v>
      </c>
      <c r="S797" s="50">
        <v>21.6</v>
      </c>
      <c r="T797" s="50">
        <v>42</v>
      </c>
      <c r="U797" s="50">
        <v>8.24</v>
      </c>
      <c r="V797" s="50">
        <v>60</v>
      </c>
      <c r="W797" s="50">
        <v>42</v>
      </c>
      <c r="X797" s="50">
        <v>316</v>
      </c>
      <c r="Y797" s="50">
        <v>14.59</v>
      </c>
      <c r="Z797" s="50">
        <v>22</v>
      </c>
      <c r="AA797" s="50">
        <v>4.29</v>
      </c>
      <c r="AB797" s="50"/>
      <c r="AC797" s="50"/>
      <c r="AD797" s="50"/>
      <c r="AE797" s="50"/>
      <c r="AF797" s="50"/>
      <c r="AG797" s="50"/>
      <c r="AH797" s="50"/>
      <c r="AI797" s="50"/>
      <c r="AJ797" s="50"/>
    </row>
    <row r="798" spans="1:36" ht="15" customHeight="1" x14ac:dyDescent="0.25">
      <c r="A798" s="50">
        <v>160</v>
      </c>
      <c r="B798" s="50" t="s">
        <v>926</v>
      </c>
      <c r="C798" s="50" t="s">
        <v>1352</v>
      </c>
      <c r="D798" s="50">
        <v>24</v>
      </c>
      <c r="E798" s="50" t="s">
        <v>1359</v>
      </c>
      <c r="F798" s="50">
        <v>4</v>
      </c>
      <c r="G798" s="50">
        <v>7.1</v>
      </c>
      <c r="H798" s="50">
        <v>57</v>
      </c>
      <c r="I798" s="50">
        <v>3.36</v>
      </c>
      <c r="J798" s="50">
        <v>96</v>
      </c>
      <c r="K798" s="50">
        <v>97</v>
      </c>
      <c r="L798" s="50">
        <v>6.62</v>
      </c>
      <c r="M798" s="50">
        <v>5.69</v>
      </c>
      <c r="N798" s="50">
        <v>53</v>
      </c>
      <c r="O798" s="50">
        <v>11</v>
      </c>
      <c r="P798" s="50">
        <v>9.3000000000000007</v>
      </c>
      <c r="Q798" s="50">
        <v>51</v>
      </c>
      <c r="R798" s="50">
        <v>39.1</v>
      </c>
      <c r="S798" s="50">
        <v>21.6</v>
      </c>
      <c r="T798" s="50">
        <v>41</v>
      </c>
      <c r="U798" s="50">
        <v>7.05</v>
      </c>
      <c r="V798" s="50">
        <v>60.5</v>
      </c>
      <c r="W798" s="50">
        <v>43</v>
      </c>
      <c r="X798" s="50">
        <v>330</v>
      </c>
      <c r="Y798" s="50">
        <v>14.07</v>
      </c>
      <c r="Z798" s="50">
        <v>23.2</v>
      </c>
      <c r="AA798" s="50">
        <v>4.38</v>
      </c>
      <c r="AB798" s="50"/>
      <c r="AC798" s="50"/>
      <c r="AD798" s="50"/>
      <c r="AE798" s="50"/>
      <c r="AF798" s="50"/>
      <c r="AG798" s="50"/>
      <c r="AH798" s="50"/>
      <c r="AI798" s="50"/>
      <c r="AJ798" s="50"/>
    </row>
    <row r="799" spans="1:36" ht="15" customHeight="1" x14ac:dyDescent="0.25">
      <c r="A799" s="50">
        <v>160</v>
      </c>
      <c r="B799" s="50" t="s">
        <v>926</v>
      </c>
      <c r="C799" s="50" t="s">
        <v>1352</v>
      </c>
      <c r="D799" s="50">
        <v>24</v>
      </c>
      <c r="E799" s="50" t="s">
        <v>1359</v>
      </c>
      <c r="F799" s="50">
        <v>8</v>
      </c>
      <c r="G799" s="50">
        <v>6.4</v>
      </c>
      <c r="H799" s="50">
        <v>51</v>
      </c>
      <c r="I799" s="50">
        <v>3.26</v>
      </c>
      <c r="J799" s="50">
        <v>97</v>
      </c>
      <c r="K799" s="50">
        <v>94</v>
      </c>
      <c r="L799" s="50">
        <v>6.02</v>
      </c>
      <c r="M799" s="50">
        <v>5.3</v>
      </c>
      <c r="N799" s="50">
        <v>52</v>
      </c>
      <c r="O799" s="50">
        <v>10.9</v>
      </c>
      <c r="P799" s="50">
        <v>10.1</v>
      </c>
      <c r="Q799" s="50">
        <v>48.5</v>
      </c>
      <c r="R799" s="50">
        <v>43.4</v>
      </c>
      <c r="S799" s="50">
        <v>24.9</v>
      </c>
      <c r="T799" s="50">
        <v>46</v>
      </c>
      <c r="U799" s="50">
        <v>7.64</v>
      </c>
      <c r="V799" s="50">
        <v>61.7</v>
      </c>
      <c r="W799" s="50">
        <v>44</v>
      </c>
      <c r="X799" s="50">
        <v>361</v>
      </c>
      <c r="Y799" s="50">
        <v>13.57</v>
      </c>
      <c r="Z799" s="50">
        <v>24.8</v>
      </c>
      <c r="AA799" s="50">
        <v>4.79</v>
      </c>
      <c r="AB799" s="50"/>
      <c r="AC799" s="50"/>
      <c r="AD799" s="50"/>
      <c r="AE799" s="50"/>
      <c r="AF799" s="50"/>
      <c r="AG799" s="50"/>
      <c r="AH799" s="50"/>
      <c r="AI799" s="50"/>
      <c r="AJ799" s="50"/>
    </row>
    <row r="800" spans="1:36" ht="15" customHeight="1" x14ac:dyDescent="0.25">
      <c r="A800" s="50">
        <v>160</v>
      </c>
      <c r="B800" s="50" t="s">
        <v>926</v>
      </c>
      <c r="C800" s="50" t="s">
        <v>1352</v>
      </c>
      <c r="D800" s="50">
        <v>24</v>
      </c>
      <c r="E800" s="50" t="s">
        <v>1359</v>
      </c>
      <c r="F800" s="50">
        <v>12</v>
      </c>
      <c r="G800" s="50">
        <v>6.2</v>
      </c>
      <c r="H800" s="50">
        <v>53</v>
      </c>
      <c r="I800" s="50">
        <v>3.14</v>
      </c>
      <c r="J800" s="50">
        <v>101</v>
      </c>
      <c r="K800" s="50">
        <v>91</v>
      </c>
      <c r="L800" s="50">
        <v>5.93</v>
      </c>
      <c r="M800" s="50">
        <v>5.5</v>
      </c>
      <c r="N800" s="50">
        <v>48</v>
      </c>
      <c r="O800" s="50">
        <v>9.1999999999999993</v>
      </c>
      <c r="P800" s="50">
        <v>8.8000000000000007</v>
      </c>
      <c r="Q800" s="50">
        <v>45.8</v>
      </c>
      <c r="R800" s="50">
        <v>42.8</v>
      </c>
      <c r="S800" s="50">
        <v>27.4</v>
      </c>
      <c r="T800" s="50">
        <v>54</v>
      </c>
      <c r="U800" s="50">
        <v>7.6</v>
      </c>
      <c r="V800" s="50">
        <v>63</v>
      </c>
      <c r="W800" s="50">
        <v>44</v>
      </c>
      <c r="X800" s="50">
        <v>359</v>
      </c>
      <c r="Y800" s="50">
        <v>13.14</v>
      </c>
      <c r="Z800" s="50">
        <v>26.3</v>
      </c>
      <c r="AA800" s="50">
        <v>4.88</v>
      </c>
      <c r="AB800" s="50"/>
      <c r="AC800" s="50"/>
      <c r="AD800" s="50"/>
      <c r="AE800" s="50"/>
      <c r="AF800" s="50"/>
      <c r="AG800" s="50"/>
      <c r="AH800" s="50"/>
      <c r="AI800" s="50"/>
      <c r="AJ800" s="50"/>
    </row>
    <row r="801" spans="1:36" ht="15" customHeight="1" x14ac:dyDescent="0.25">
      <c r="A801" s="50">
        <v>160</v>
      </c>
      <c r="B801" s="50" t="s">
        <v>926</v>
      </c>
      <c r="C801" s="50" t="s">
        <v>1352</v>
      </c>
      <c r="D801" s="50">
        <v>24</v>
      </c>
      <c r="E801" s="50" t="s">
        <v>1359</v>
      </c>
      <c r="F801" s="50">
        <v>21</v>
      </c>
      <c r="G801" s="50">
        <v>5.5</v>
      </c>
      <c r="H801" s="50">
        <v>50</v>
      </c>
      <c r="I801" s="50">
        <v>2.97</v>
      </c>
      <c r="J801" s="50">
        <v>103</v>
      </c>
      <c r="K801" s="50">
        <v>85</v>
      </c>
      <c r="L801" s="50">
        <v>5.33</v>
      </c>
      <c r="M801" s="50">
        <v>4.7300000000000004</v>
      </c>
      <c r="N801" s="50">
        <v>47</v>
      </c>
      <c r="O801" s="50">
        <v>10.4</v>
      </c>
      <c r="P801" s="50">
        <v>7.8</v>
      </c>
      <c r="Q801" s="50">
        <v>37.6</v>
      </c>
      <c r="R801" s="50">
        <v>44.6</v>
      </c>
      <c r="S801" s="50">
        <v>28.2</v>
      </c>
      <c r="T801" s="50">
        <v>54</v>
      </c>
      <c r="U801" s="50">
        <v>7.08</v>
      </c>
      <c r="V801" s="50">
        <v>63.5</v>
      </c>
      <c r="W801" s="50">
        <v>45</v>
      </c>
      <c r="X801" s="50">
        <v>385</v>
      </c>
      <c r="Y801" s="50">
        <v>13.16</v>
      </c>
      <c r="Z801" s="50">
        <v>27.4</v>
      </c>
      <c r="AA801" s="50">
        <v>4.6900000000000004</v>
      </c>
      <c r="AB801" s="50"/>
      <c r="AC801" s="50"/>
      <c r="AD801" s="50"/>
      <c r="AE801" s="50"/>
      <c r="AF801" s="50"/>
      <c r="AG801" s="50"/>
      <c r="AH801" s="50"/>
      <c r="AI801" s="50"/>
      <c r="AJ801" s="50"/>
    </row>
    <row r="802" spans="1:36" ht="15" customHeight="1" x14ac:dyDescent="0.25">
      <c r="A802" s="50">
        <v>161</v>
      </c>
      <c r="B802" s="50" t="s">
        <v>926</v>
      </c>
      <c r="C802" s="50" t="s">
        <v>1352</v>
      </c>
      <c r="D802" s="50">
        <v>41</v>
      </c>
      <c r="E802" s="50" t="s">
        <v>1353</v>
      </c>
      <c r="F802" s="50">
        <v>0</v>
      </c>
      <c r="G802" s="50">
        <v>7.1</v>
      </c>
      <c r="H802" s="50">
        <v>42</v>
      </c>
      <c r="I802" s="50">
        <v>4.0199999999999996</v>
      </c>
      <c r="J802" s="50">
        <v>97</v>
      </c>
      <c r="K802" s="50">
        <v>100</v>
      </c>
      <c r="L802" s="50">
        <v>5.61</v>
      </c>
      <c r="M802" s="50">
        <v>6.01</v>
      </c>
      <c r="N802" s="50">
        <v>33</v>
      </c>
      <c r="O802" s="50">
        <v>11.3</v>
      </c>
      <c r="P802" s="50">
        <v>11.6</v>
      </c>
      <c r="Q802" s="50">
        <v>55.1</v>
      </c>
      <c r="R802" s="50">
        <v>40.200000000000003</v>
      </c>
      <c r="S802" s="50">
        <v>18.7</v>
      </c>
      <c r="T802" s="50">
        <v>22</v>
      </c>
      <c r="U802" s="50">
        <v>11.38</v>
      </c>
      <c r="V802" s="50">
        <v>71.8</v>
      </c>
      <c r="W802" s="50">
        <v>21</v>
      </c>
      <c r="X802" s="50">
        <v>324</v>
      </c>
      <c r="Y802" s="50">
        <v>17.420000000000002</v>
      </c>
      <c r="Z802" s="50">
        <v>29.5</v>
      </c>
      <c r="AA802" s="50">
        <v>4.99</v>
      </c>
      <c r="AB802" s="50"/>
      <c r="AC802" s="50"/>
      <c r="AD802" s="50"/>
      <c r="AE802" s="50"/>
      <c r="AF802" s="50"/>
      <c r="AG802" s="50"/>
      <c r="AH802" s="50"/>
      <c r="AI802" s="50"/>
      <c r="AJ802" s="50"/>
    </row>
    <row r="803" spans="1:36" ht="15" customHeight="1" x14ac:dyDescent="0.25">
      <c r="A803" s="50">
        <v>161</v>
      </c>
      <c r="B803" s="50" t="s">
        <v>926</v>
      </c>
      <c r="C803" s="50" t="s">
        <v>1352</v>
      </c>
      <c r="D803" s="50">
        <v>41</v>
      </c>
      <c r="E803" s="50" t="s">
        <v>1353</v>
      </c>
      <c r="F803" s="50">
        <v>4</v>
      </c>
      <c r="G803" s="50">
        <v>7.2</v>
      </c>
      <c r="H803" s="50">
        <v>43</v>
      </c>
      <c r="I803" s="50">
        <v>3.86</v>
      </c>
      <c r="J803" s="50">
        <v>103</v>
      </c>
      <c r="K803" s="50">
        <v>97</v>
      </c>
      <c r="L803" s="50">
        <v>5.79</v>
      </c>
      <c r="M803" s="50">
        <v>6.15</v>
      </c>
      <c r="N803" s="50">
        <v>34</v>
      </c>
      <c r="O803" s="50">
        <v>12.3</v>
      </c>
      <c r="P803" s="50">
        <v>12.4</v>
      </c>
      <c r="Q803" s="50">
        <v>54.9</v>
      </c>
      <c r="R803" s="50">
        <v>39.9</v>
      </c>
      <c r="S803" s="50">
        <v>17.600000000000001</v>
      </c>
      <c r="T803" s="50">
        <v>26</v>
      </c>
      <c r="U803" s="50">
        <v>10.66</v>
      </c>
      <c r="V803" s="50">
        <v>72</v>
      </c>
      <c r="W803" s="50">
        <v>22</v>
      </c>
      <c r="X803" s="50">
        <v>335</v>
      </c>
      <c r="Y803" s="50">
        <v>17.54</v>
      </c>
      <c r="Z803" s="50">
        <v>30.6</v>
      </c>
      <c r="AA803" s="50">
        <v>4.93</v>
      </c>
      <c r="AB803" s="50"/>
      <c r="AC803" s="50"/>
      <c r="AD803" s="50"/>
      <c r="AE803" s="50"/>
      <c r="AF803" s="50"/>
      <c r="AG803" s="50"/>
      <c r="AH803" s="50"/>
      <c r="AI803" s="50"/>
      <c r="AJ803" s="50"/>
    </row>
    <row r="804" spans="1:36" ht="15" customHeight="1" x14ac:dyDescent="0.25">
      <c r="A804" s="50">
        <v>161</v>
      </c>
      <c r="B804" s="50" t="s">
        <v>926</v>
      </c>
      <c r="C804" s="50" t="s">
        <v>1352</v>
      </c>
      <c r="D804" s="50">
        <v>41</v>
      </c>
      <c r="E804" s="50" t="s">
        <v>1353</v>
      </c>
      <c r="F804" s="50">
        <v>8</v>
      </c>
      <c r="G804" s="50">
        <v>6.7</v>
      </c>
      <c r="H804" s="50">
        <v>40</v>
      </c>
      <c r="I804" s="50">
        <v>3.73</v>
      </c>
      <c r="J804" s="50">
        <v>102</v>
      </c>
      <c r="K804" s="50">
        <v>94</v>
      </c>
      <c r="L804" s="50">
        <v>5.26</v>
      </c>
      <c r="M804" s="50">
        <v>5.93</v>
      </c>
      <c r="N804" s="50">
        <v>32</v>
      </c>
      <c r="O804" s="50">
        <v>11.7</v>
      </c>
      <c r="P804" s="50">
        <v>11.1</v>
      </c>
      <c r="Q804" s="50">
        <v>53.2</v>
      </c>
      <c r="R804" s="50">
        <v>42.4</v>
      </c>
      <c r="S804" s="50">
        <v>20.2</v>
      </c>
      <c r="T804" s="50">
        <v>24</v>
      </c>
      <c r="U804" s="50">
        <v>11.32</v>
      </c>
      <c r="V804" s="50">
        <v>72.2</v>
      </c>
      <c r="W804" s="50">
        <v>24</v>
      </c>
      <c r="X804" s="50">
        <v>358</v>
      </c>
      <c r="Y804" s="50">
        <v>16.670000000000002</v>
      </c>
      <c r="Z804" s="50">
        <v>32</v>
      </c>
      <c r="AA804" s="50">
        <v>4.93</v>
      </c>
      <c r="AB804" s="50"/>
      <c r="AC804" s="50"/>
      <c r="AD804" s="50"/>
      <c r="AE804" s="50"/>
      <c r="AF804" s="50"/>
      <c r="AG804" s="50"/>
      <c r="AH804" s="50"/>
      <c r="AI804" s="50"/>
      <c r="AJ804" s="50"/>
    </row>
    <row r="805" spans="1:36" ht="15" customHeight="1" x14ac:dyDescent="0.25">
      <c r="A805" s="50">
        <v>161</v>
      </c>
      <c r="B805" s="50" t="s">
        <v>926</v>
      </c>
      <c r="C805" s="50" t="s">
        <v>1352</v>
      </c>
      <c r="D805" s="50">
        <v>41</v>
      </c>
      <c r="E805" s="50" t="s">
        <v>1353</v>
      </c>
      <c r="F805" s="50">
        <v>12</v>
      </c>
      <c r="G805" s="50">
        <v>6.4</v>
      </c>
      <c r="H805" s="50">
        <v>38</v>
      </c>
      <c r="I805" s="50">
        <v>3.61</v>
      </c>
      <c r="J805" s="50">
        <v>107</v>
      </c>
      <c r="K805" s="50">
        <v>91</v>
      </c>
      <c r="L805" s="50">
        <v>5.36</v>
      </c>
      <c r="M805" s="50">
        <v>5.58</v>
      </c>
      <c r="N805" s="50">
        <v>34</v>
      </c>
      <c r="O805" s="50">
        <v>11.6</v>
      </c>
      <c r="P805" s="50">
        <v>11.4</v>
      </c>
      <c r="Q805" s="50">
        <v>54.1</v>
      </c>
      <c r="R805" s="50">
        <v>44</v>
      </c>
      <c r="S805" s="50">
        <v>21.8</v>
      </c>
      <c r="T805" s="50">
        <v>27</v>
      </c>
      <c r="U805" s="50">
        <v>9.3699999999999992</v>
      </c>
      <c r="V805" s="50">
        <v>71.5</v>
      </c>
      <c r="W805" s="50">
        <v>27</v>
      </c>
      <c r="X805" s="50">
        <v>361</v>
      </c>
      <c r="Y805" s="50">
        <v>16.5</v>
      </c>
      <c r="Z805" s="50">
        <v>32.1</v>
      </c>
      <c r="AA805" s="50">
        <v>5.29</v>
      </c>
      <c r="AB805" s="50"/>
      <c r="AC805" s="50"/>
      <c r="AD805" s="50"/>
      <c r="AE805" s="50"/>
      <c r="AF805" s="50"/>
      <c r="AG805" s="50"/>
      <c r="AH805" s="50"/>
      <c r="AI805" s="50"/>
      <c r="AJ805" s="50"/>
    </row>
    <row r="806" spans="1:36" ht="15" customHeight="1" x14ac:dyDescent="0.25">
      <c r="A806" s="50">
        <v>161</v>
      </c>
      <c r="B806" s="50" t="s">
        <v>926</v>
      </c>
      <c r="C806" s="50" t="s">
        <v>1352</v>
      </c>
      <c r="D806" s="50">
        <v>41</v>
      </c>
      <c r="E806" s="50" t="s">
        <v>1353</v>
      </c>
      <c r="F806" s="50">
        <v>21</v>
      </c>
      <c r="G806" s="50">
        <v>5.4</v>
      </c>
      <c r="H806" s="50">
        <v>36</v>
      </c>
      <c r="I806" s="50">
        <v>3.38</v>
      </c>
      <c r="J806" s="50">
        <v>109</v>
      </c>
      <c r="K806" s="50">
        <v>85</v>
      </c>
      <c r="L806" s="50">
        <v>4.37</v>
      </c>
      <c r="M806" s="50">
        <v>5.01</v>
      </c>
      <c r="N806" s="50">
        <v>30</v>
      </c>
      <c r="O806" s="50">
        <v>10.6</v>
      </c>
      <c r="P806" s="50">
        <v>10.8</v>
      </c>
      <c r="Q806" s="50">
        <v>51</v>
      </c>
      <c r="R806" s="50">
        <v>48.6</v>
      </c>
      <c r="S806" s="50">
        <v>23.2</v>
      </c>
      <c r="T806" s="50">
        <v>34</v>
      </c>
      <c r="U806" s="50">
        <v>8.99</v>
      </c>
      <c r="V806" s="50">
        <v>73.7</v>
      </c>
      <c r="W806" s="50">
        <v>34</v>
      </c>
      <c r="X806" s="50">
        <v>407</v>
      </c>
      <c r="Y806" s="50">
        <v>14.48</v>
      </c>
      <c r="Z806" s="50">
        <v>32.5</v>
      </c>
      <c r="AA806" s="50">
        <v>5.25</v>
      </c>
      <c r="AB806" s="50"/>
      <c r="AC806" s="50"/>
      <c r="AD806" s="50"/>
      <c r="AE806" s="50"/>
      <c r="AF806" s="50"/>
      <c r="AG806" s="50"/>
      <c r="AH806" s="50"/>
      <c r="AI806" s="50"/>
      <c r="AJ806" s="50"/>
    </row>
    <row r="807" spans="1:36" ht="15" customHeight="1" x14ac:dyDescent="0.25">
      <c r="A807" s="50">
        <v>162</v>
      </c>
      <c r="B807" s="50" t="s">
        <v>926</v>
      </c>
      <c r="C807" s="50" t="s">
        <v>1357</v>
      </c>
      <c r="D807" s="50">
        <v>42</v>
      </c>
      <c r="E807" s="50" t="s">
        <v>1359</v>
      </c>
      <c r="F807" s="50">
        <v>0</v>
      </c>
      <c r="G807" s="50">
        <v>6.9</v>
      </c>
      <c r="H807" s="50">
        <v>38</v>
      </c>
      <c r="I807" s="50">
        <v>2.76</v>
      </c>
      <c r="J807" s="50">
        <v>126</v>
      </c>
      <c r="K807" s="50">
        <v>100</v>
      </c>
      <c r="L807" s="50">
        <v>6.07</v>
      </c>
      <c r="M807" s="50">
        <v>6</v>
      </c>
      <c r="N807" s="50">
        <v>33</v>
      </c>
      <c r="O807" s="50">
        <v>13.6</v>
      </c>
      <c r="P807" s="50">
        <v>9.9</v>
      </c>
      <c r="Q807" s="50">
        <v>55.5</v>
      </c>
      <c r="R807" s="50">
        <v>23.9</v>
      </c>
      <c r="S807" s="50">
        <v>8.4</v>
      </c>
      <c r="T807" s="50">
        <v>42</v>
      </c>
      <c r="U807" s="50">
        <v>4.47</v>
      </c>
      <c r="V807" s="50">
        <v>55.1</v>
      </c>
      <c r="W807" s="50">
        <v>41</v>
      </c>
      <c r="X807" s="50">
        <v>465</v>
      </c>
      <c r="Y807" s="50">
        <v>15.27</v>
      </c>
      <c r="Z807" s="50">
        <v>26.2</v>
      </c>
      <c r="AA807" s="50">
        <v>4.16</v>
      </c>
      <c r="AB807" s="50"/>
      <c r="AC807" s="50"/>
      <c r="AD807" s="50"/>
      <c r="AE807" s="50"/>
      <c r="AF807" s="50"/>
      <c r="AG807" s="50"/>
      <c r="AH807" s="50"/>
      <c r="AI807" s="50"/>
      <c r="AJ807" s="50"/>
    </row>
    <row r="808" spans="1:36" ht="15" customHeight="1" x14ac:dyDescent="0.25">
      <c r="A808" s="50">
        <v>162</v>
      </c>
      <c r="B808" s="50" t="s">
        <v>926</v>
      </c>
      <c r="C808" s="50" t="s">
        <v>1357</v>
      </c>
      <c r="D808" s="50">
        <v>42</v>
      </c>
      <c r="E808" s="50" t="s">
        <v>1359</v>
      </c>
      <c r="F808" s="50">
        <v>4</v>
      </c>
      <c r="G808" s="50">
        <v>6.7</v>
      </c>
      <c r="H808" s="50">
        <v>36</v>
      </c>
      <c r="I808" s="50">
        <v>2.75</v>
      </c>
      <c r="J808" s="50">
        <v>124</v>
      </c>
      <c r="K808" s="50">
        <v>97</v>
      </c>
      <c r="L808" s="50">
        <v>5.98</v>
      </c>
      <c r="M808" s="50">
        <v>5.62</v>
      </c>
      <c r="N808" s="50">
        <v>33</v>
      </c>
      <c r="O808" s="50">
        <v>13.8</v>
      </c>
      <c r="P808" s="50">
        <v>9.1999999999999993</v>
      </c>
      <c r="Q808" s="50">
        <v>56.8</v>
      </c>
      <c r="R808" s="50">
        <v>27.8</v>
      </c>
      <c r="S808" s="50">
        <v>8.1</v>
      </c>
      <c r="T808" s="50">
        <v>46</v>
      </c>
      <c r="U808" s="50">
        <v>5</v>
      </c>
      <c r="V808" s="50">
        <v>55.6</v>
      </c>
      <c r="W808" s="50">
        <v>44</v>
      </c>
      <c r="X808" s="50">
        <v>486</v>
      </c>
      <c r="Y808" s="50">
        <v>15.07</v>
      </c>
      <c r="Z808" s="50">
        <v>26.5</v>
      </c>
      <c r="AA808" s="50">
        <v>4.25</v>
      </c>
      <c r="AB808" s="50"/>
      <c r="AC808" s="50"/>
      <c r="AD808" s="50"/>
      <c r="AE808" s="50"/>
      <c r="AF808" s="50"/>
      <c r="AG808" s="50"/>
      <c r="AH808" s="50"/>
      <c r="AI808" s="50"/>
      <c r="AJ808" s="50"/>
    </row>
    <row r="809" spans="1:36" ht="15" customHeight="1" x14ac:dyDescent="0.25">
      <c r="A809" s="50">
        <v>162</v>
      </c>
      <c r="B809" s="50" t="s">
        <v>926</v>
      </c>
      <c r="C809" s="50" t="s">
        <v>1357</v>
      </c>
      <c r="D809" s="50">
        <v>42</v>
      </c>
      <c r="E809" s="50" t="s">
        <v>1359</v>
      </c>
      <c r="F809" s="50">
        <v>8</v>
      </c>
      <c r="G809" s="50">
        <v>6.3</v>
      </c>
      <c r="H809" s="50">
        <v>35</v>
      </c>
      <c r="I809" s="50">
        <v>2.69</v>
      </c>
      <c r="J809" s="50">
        <v>126</v>
      </c>
      <c r="K809" s="50">
        <v>94</v>
      </c>
      <c r="L809" s="50">
        <v>5.72</v>
      </c>
      <c r="M809" s="50">
        <v>5.34</v>
      </c>
      <c r="N809" s="50">
        <v>29</v>
      </c>
      <c r="O809" s="50">
        <v>13.2</v>
      </c>
      <c r="P809" s="50">
        <v>9.1</v>
      </c>
      <c r="Q809" s="50">
        <v>52.8</v>
      </c>
      <c r="R809" s="50">
        <v>29.8</v>
      </c>
      <c r="S809" s="50">
        <v>11.7</v>
      </c>
      <c r="T809" s="50">
        <v>47</v>
      </c>
      <c r="U809" s="50">
        <v>4.37</v>
      </c>
      <c r="V809" s="50">
        <v>55</v>
      </c>
      <c r="W809" s="50">
        <v>46</v>
      </c>
      <c r="X809" s="50">
        <v>480</v>
      </c>
      <c r="Y809" s="50">
        <v>14.58</v>
      </c>
      <c r="Z809" s="50">
        <v>26.6</v>
      </c>
      <c r="AA809" s="50">
        <v>4.6100000000000003</v>
      </c>
      <c r="AB809" s="50"/>
      <c r="AC809" s="50"/>
      <c r="AD809" s="50"/>
      <c r="AE809" s="50"/>
      <c r="AF809" s="50"/>
      <c r="AG809" s="50"/>
      <c r="AH809" s="50"/>
      <c r="AI809" s="50"/>
      <c r="AJ809" s="50"/>
    </row>
    <row r="810" spans="1:36" ht="15" customHeight="1" x14ac:dyDescent="0.25">
      <c r="A810" s="50">
        <v>162</v>
      </c>
      <c r="B810" s="50" t="s">
        <v>926</v>
      </c>
      <c r="C810" s="50" t="s">
        <v>1357</v>
      </c>
      <c r="D810" s="50">
        <v>42</v>
      </c>
      <c r="E810" s="50" t="s">
        <v>1359</v>
      </c>
      <c r="F810" s="50">
        <v>12</v>
      </c>
      <c r="G810" s="50">
        <v>5.6</v>
      </c>
      <c r="H810" s="50">
        <v>34</v>
      </c>
      <c r="I810" s="50">
        <v>2.52</v>
      </c>
      <c r="J810" s="50">
        <v>128</v>
      </c>
      <c r="K810" s="50">
        <v>91</v>
      </c>
      <c r="L810" s="50">
        <v>5.1100000000000003</v>
      </c>
      <c r="M810" s="50">
        <v>5.14</v>
      </c>
      <c r="N810" s="50">
        <v>31</v>
      </c>
      <c r="O810" s="50">
        <v>12.1</v>
      </c>
      <c r="P810" s="50">
        <v>8.8000000000000007</v>
      </c>
      <c r="Q810" s="50">
        <v>47.5</v>
      </c>
      <c r="R810" s="50">
        <v>39.5</v>
      </c>
      <c r="S810" s="50">
        <v>17.3</v>
      </c>
      <c r="T810" s="50">
        <v>50</v>
      </c>
      <c r="U810" s="50">
        <v>4.8600000000000003</v>
      </c>
      <c r="V810" s="50">
        <v>59.6</v>
      </c>
      <c r="W810" s="50">
        <v>50</v>
      </c>
      <c r="X810" s="50">
        <v>483</v>
      </c>
      <c r="Y810" s="50">
        <v>13.61</v>
      </c>
      <c r="Z810" s="50">
        <v>29.8</v>
      </c>
      <c r="AA810" s="50">
        <v>4.72</v>
      </c>
      <c r="AB810" s="50"/>
      <c r="AC810" s="50"/>
      <c r="AD810" s="50"/>
      <c r="AE810" s="50"/>
      <c r="AF810" s="50"/>
      <c r="AG810" s="50"/>
      <c r="AH810" s="50"/>
      <c r="AI810" s="50"/>
      <c r="AJ810" s="50"/>
    </row>
    <row r="811" spans="1:36" ht="15" customHeight="1" x14ac:dyDescent="0.25">
      <c r="A811" s="50">
        <v>162</v>
      </c>
      <c r="B811" s="50" t="s">
        <v>926</v>
      </c>
      <c r="C811" s="50" t="s">
        <v>1357</v>
      </c>
      <c r="D811" s="50">
        <v>42</v>
      </c>
      <c r="E811" s="50" t="s">
        <v>1359</v>
      </c>
      <c r="F811" s="50">
        <v>21</v>
      </c>
      <c r="G811" s="50">
        <v>5</v>
      </c>
      <c r="H811" s="50">
        <v>30</v>
      </c>
      <c r="I811" s="50">
        <v>2.38</v>
      </c>
      <c r="J811" s="50">
        <v>131</v>
      </c>
      <c r="K811" s="50">
        <v>85</v>
      </c>
      <c r="L811" s="50">
        <v>4.5599999999999996</v>
      </c>
      <c r="M811" s="50">
        <v>4.7699999999999996</v>
      </c>
      <c r="N811" s="50">
        <v>29</v>
      </c>
      <c r="O811" s="50">
        <v>11.8</v>
      </c>
      <c r="P811" s="50">
        <v>8.6</v>
      </c>
      <c r="Q811" s="50">
        <v>44.6</v>
      </c>
      <c r="R811" s="50">
        <v>40.700000000000003</v>
      </c>
      <c r="S811" s="50">
        <v>20.2</v>
      </c>
      <c r="T811" s="50">
        <v>56</v>
      </c>
      <c r="U811" s="50">
        <v>5.1100000000000003</v>
      </c>
      <c r="V811" s="50">
        <v>62</v>
      </c>
      <c r="W811" s="50">
        <v>58</v>
      </c>
      <c r="X811" s="50">
        <v>502</v>
      </c>
      <c r="Y811" s="50">
        <v>13.3</v>
      </c>
      <c r="Z811" s="50">
        <v>29.5</v>
      </c>
      <c r="AA811" s="50">
        <v>5.25</v>
      </c>
      <c r="AB811" s="50"/>
      <c r="AC811" s="50"/>
      <c r="AD811" s="50"/>
      <c r="AE811" s="50"/>
      <c r="AF811" s="50"/>
      <c r="AG811" s="50"/>
      <c r="AH811" s="50"/>
      <c r="AI811" s="50"/>
      <c r="AJ811" s="50"/>
    </row>
    <row r="812" spans="1:36" ht="15" customHeight="1" x14ac:dyDescent="0.25">
      <c r="A812" s="50">
        <v>163</v>
      </c>
      <c r="B812" s="50" t="s">
        <v>926</v>
      </c>
      <c r="C812" s="50" t="s">
        <v>1352</v>
      </c>
      <c r="D812" s="50">
        <v>43</v>
      </c>
      <c r="E812" s="50" t="s">
        <v>1353</v>
      </c>
      <c r="F812" s="50">
        <v>0</v>
      </c>
      <c r="G812" s="50">
        <v>5.7</v>
      </c>
      <c r="H812" s="50">
        <v>44</v>
      </c>
      <c r="I812" s="50">
        <v>3.99</v>
      </c>
      <c r="J812" s="50">
        <v>90</v>
      </c>
      <c r="K812" s="50">
        <v>100</v>
      </c>
      <c r="L812" s="50">
        <v>6.52</v>
      </c>
      <c r="M812" s="50">
        <v>6.25</v>
      </c>
      <c r="N812" s="50">
        <v>43</v>
      </c>
      <c r="O812" s="50">
        <v>13.8</v>
      </c>
      <c r="P812" s="50">
        <v>10.1</v>
      </c>
      <c r="Q812" s="50">
        <v>38</v>
      </c>
      <c r="R812" s="50">
        <v>35.799999999999997</v>
      </c>
      <c r="S812" s="50">
        <v>19.5</v>
      </c>
      <c r="T812" s="50">
        <v>11</v>
      </c>
      <c r="U812" s="50">
        <v>11.44</v>
      </c>
      <c r="V812" s="50">
        <v>54.5</v>
      </c>
      <c r="W812" s="50">
        <v>47</v>
      </c>
      <c r="X812" s="50">
        <v>345</v>
      </c>
      <c r="Y812" s="50">
        <v>18.690000000000001</v>
      </c>
      <c r="Z812" s="50">
        <v>32.6</v>
      </c>
      <c r="AA812" s="50">
        <v>5</v>
      </c>
      <c r="AB812" s="50"/>
      <c r="AC812" s="50"/>
      <c r="AD812" s="50"/>
      <c r="AE812" s="50"/>
      <c r="AF812" s="50"/>
      <c r="AG812" s="50"/>
      <c r="AH812" s="50"/>
      <c r="AI812" s="50"/>
      <c r="AJ812" s="50"/>
    </row>
    <row r="813" spans="1:36" ht="15" customHeight="1" x14ac:dyDescent="0.25">
      <c r="A813" s="50">
        <v>163</v>
      </c>
      <c r="B813" s="50" t="s">
        <v>926</v>
      </c>
      <c r="C813" s="50" t="s">
        <v>1352</v>
      </c>
      <c r="D813" s="50">
        <v>43</v>
      </c>
      <c r="E813" s="50" t="s">
        <v>1353</v>
      </c>
      <c r="F813" s="50">
        <v>4</v>
      </c>
      <c r="G813" s="50">
        <v>5.4</v>
      </c>
      <c r="H813" s="50">
        <v>44</v>
      </c>
      <c r="I813" s="50">
        <v>3.96</v>
      </c>
      <c r="J813" s="50">
        <v>95</v>
      </c>
      <c r="K813" s="50">
        <v>97</v>
      </c>
      <c r="L813" s="50">
        <v>5.95</v>
      </c>
      <c r="M813" s="50">
        <v>6.35</v>
      </c>
      <c r="N813" s="50">
        <v>44</v>
      </c>
      <c r="O813" s="50">
        <v>12.2</v>
      </c>
      <c r="P813" s="50">
        <v>8.6999999999999993</v>
      </c>
      <c r="Q813" s="50">
        <v>36.1</v>
      </c>
      <c r="R813" s="50">
        <v>35</v>
      </c>
      <c r="S813" s="50">
        <v>21.1</v>
      </c>
      <c r="T813" s="50">
        <v>14</v>
      </c>
      <c r="U813" s="50">
        <v>11.39</v>
      </c>
      <c r="V813" s="50">
        <v>54.5</v>
      </c>
      <c r="W813" s="50">
        <v>48</v>
      </c>
      <c r="X813" s="50">
        <v>349</v>
      </c>
      <c r="Y813" s="50">
        <v>17.91</v>
      </c>
      <c r="Z813" s="50">
        <v>33.6</v>
      </c>
      <c r="AA813" s="50">
        <v>4.9000000000000004</v>
      </c>
      <c r="AB813" s="50"/>
      <c r="AC813" s="50"/>
      <c r="AD813" s="50"/>
      <c r="AE813" s="50"/>
      <c r="AF813" s="50"/>
      <c r="AG813" s="50"/>
      <c r="AH813" s="50"/>
      <c r="AI813" s="50"/>
      <c r="AJ813" s="50"/>
    </row>
    <row r="814" spans="1:36" ht="15" customHeight="1" x14ac:dyDescent="0.25">
      <c r="A814" s="50">
        <v>163</v>
      </c>
      <c r="B814" s="50" t="s">
        <v>926</v>
      </c>
      <c r="C814" s="50" t="s">
        <v>1352</v>
      </c>
      <c r="D814" s="50">
        <v>43</v>
      </c>
      <c r="E814" s="50" t="s">
        <v>1353</v>
      </c>
      <c r="F814" s="50">
        <v>8</v>
      </c>
      <c r="G814" s="50">
        <v>5.0999999999999996</v>
      </c>
      <c r="H814" s="50">
        <v>43</v>
      </c>
      <c r="I814" s="50">
        <v>3.8</v>
      </c>
      <c r="J814" s="50">
        <v>95</v>
      </c>
      <c r="K814" s="50">
        <v>94</v>
      </c>
      <c r="L814" s="50">
        <v>5.68</v>
      </c>
      <c r="M814" s="50">
        <v>5.49</v>
      </c>
      <c r="N814" s="50">
        <v>40</v>
      </c>
      <c r="O814" s="50">
        <v>13.3</v>
      </c>
      <c r="P814" s="50">
        <v>9.5</v>
      </c>
      <c r="Q814" s="50">
        <v>34.4</v>
      </c>
      <c r="R814" s="50">
        <v>37.4</v>
      </c>
      <c r="S814" s="50">
        <v>23.8</v>
      </c>
      <c r="T814" s="50">
        <v>19</v>
      </c>
      <c r="U814" s="50">
        <v>10</v>
      </c>
      <c r="V814" s="50">
        <v>56.1</v>
      </c>
      <c r="W814" s="50">
        <v>49</v>
      </c>
      <c r="X814" s="50">
        <v>368</v>
      </c>
      <c r="Y814" s="50">
        <v>17.079999999999998</v>
      </c>
      <c r="Z814" s="50">
        <v>34.799999999999997</v>
      </c>
      <c r="AA814" s="50">
        <v>5.09</v>
      </c>
      <c r="AB814" s="50"/>
      <c r="AC814" s="50"/>
      <c r="AD814" s="50"/>
      <c r="AE814" s="50"/>
      <c r="AF814" s="50"/>
      <c r="AG814" s="50"/>
      <c r="AH814" s="50"/>
      <c r="AI814" s="50"/>
      <c r="AJ814" s="50"/>
    </row>
    <row r="815" spans="1:36" ht="15" customHeight="1" x14ac:dyDescent="0.25">
      <c r="A815" s="50">
        <v>163</v>
      </c>
      <c r="B815" s="50" t="s">
        <v>926</v>
      </c>
      <c r="C815" s="50" t="s">
        <v>1352</v>
      </c>
      <c r="D815" s="50">
        <v>43</v>
      </c>
      <c r="E815" s="50" t="s">
        <v>1353</v>
      </c>
      <c r="F815" s="50">
        <v>12</v>
      </c>
      <c r="G815" s="50">
        <v>4.8</v>
      </c>
      <c r="H815" s="50">
        <v>43</v>
      </c>
      <c r="I815" s="50">
        <v>3.69</v>
      </c>
      <c r="J815" s="50">
        <v>95</v>
      </c>
      <c r="K815" s="50">
        <v>91</v>
      </c>
      <c r="L815" s="50">
        <v>5.71</v>
      </c>
      <c r="M815" s="50">
        <v>5.43</v>
      </c>
      <c r="N815" s="50">
        <v>40</v>
      </c>
      <c r="O815" s="50">
        <v>12.9</v>
      </c>
      <c r="P815" s="50">
        <v>10.1</v>
      </c>
      <c r="Q815" s="50">
        <v>34.299999999999997</v>
      </c>
      <c r="R815" s="50">
        <v>39</v>
      </c>
      <c r="S815" s="50">
        <v>22.4</v>
      </c>
      <c r="T815" s="50">
        <v>23</v>
      </c>
      <c r="U815" s="50">
        <v>9.73</v>
      </c>
      <c r="V815" s="50">
        <v>57.6</v>
      </c>
      <c r="W815" s="50">
        <v>49</v>
      </c>
      <c r="X815" s="50">
        <v>383</v>
      </c>
      <c r="Y815" s="50">
        <v>16.600000000000001</v>
      </c>
      <c r="Z815" s="50">
        <v>33.5</v>
      </c>
      <c r="AA815" s="50">
        <v>5.4</v>
      </c>
      <c r="AB815" s="50"/>
      <c r="AC815" s="50"/>
      <c r="AD815" s="50"/>
      <c r="AE815" s="50"/>
      <c r="AF815" s="50"/>
      <c r="AG815" s="50"/>
      <c r="AH815" s="50"/>
      <c r="AI815" s="50"/>
      <c r="AJ815" s="50"/>
    </row>
    <row r="816" spans="1:36" ht="15" customHeight="1" x14ac:dyDescent="0.25">
      <c r="A816" s="50">
        <v>163</v>
      </c>
      <c r="B816" s="50" t="s">
        <v>926</v>
      </c>
      <c r="C816" s="50" t="s">
        <v>1352</v>
      </c>
      <c r="D816" s="50">
        <v>43</v>
      </c>
      <c r="E816" s="50" t="s">
        <v>1353</v>
      </c>
      <c r="F816" s="50">
        <v>21</v>
      </c>
      <c r="G816" s="50">
        <v>4</v>
      </c>
      <c r="H816" s="50">
        <v>40</v>
      </c>
      <c r="I816" s="50">
        <v>3.41</v>
      </c>
      <c r="J816" s="50">
        <v>100</v>
      </c>
      <c r="K816" s="50">
        <v>85</v>
      </c>
      <c r="L816" s="50">
        <v>4.74</v>
      </c>
      <c r="M816" s="50">
        <v>4.53</v>
      </c>
      <c r="N816" s="50">
        <v>37</v>
      </c>
      <c r="O816" s="50">
        <v>11.4</v>
      </c>
      <c r="P816" s="50">
        <v>9.6</v>
      </c>
      <c r="Q816" s="50">
        <v>32.4</v>
      </c>
      <c r="R816" s="50">
        <v>43.4</v>
      </c>
      <c r="S816" s="50">
        <v>30</v>
      </c>
      <c r="T816" s="50">
        <v>30</v>
      </c>
      <c r="U816" s="50">
        <v>8.9600000000000009</v>
      </c>
      <c r="V816" s="50">
        <v>61.4</v>
      </c>
      <c r="W816" s="50">
        <v>58</v>
      </c>
      <c r="X816" s="50">
        <v>433</v>
      </c>
      <c r="Y816" s="50">
        <v>14.92</v>
      </c>
      <c r="Z816" s="50">
        <v>35.9</v>
      </c>
      <c r="AA816" s="50">
        <v>5.75</v>
      </c>
      <c r="AB816" s="50"/>
      <c r="AC816" s="50"/>
      <c r="AD816" s="50"/>
      <c r="AE816" s="50"/>
      <c r="AF816" s="50"/>
      <c r="AG816" s="50"/>
      <c r="AH816" s="50"/>
      <c r="AI816" s="50"/>
      <c r="AJ816" s="50"/>
    </row>
    <row r="817" spans="1:36" ht="15" customHeight="1" x14ac:dyDescent="0.25">
      <c r="A817" s="50">
        <v>164</v>
      </c>
      <c r="B817" s="50" t="s">
        <v>926</v>
      </c>
      <c r="C817" s="50" t="s">
        <v>1352</v>
      </c>
      <c r="D817" s="50">
        <v>33</v>
      </c>
      <c r="E817" s="50" t="s">
        <v>1355</v>
      </c>
      <c r="F817" s="50">
        <v>0</v>
      </c>
      <c r="G817" s="50">
        <v>6.8</v>
      </c>
      <c r="H817" s="50">
        <v>50</v>
      </c>
      <c r="I817" s="50">
        <v>2.79</v>
      </c>
      <c r="J817" s="50">
        <v>84</v>
      </c>
      <c r="K817" s="50">
        <v>100</v>
      </c>
      <c r="L817" s="50">
        <v>7.01</v>
      </c>
      <c r="M817" s="50">
        <v>6.19</v>
      </c>
      <c r="N817" s="50">
        <v>43</v>
      </c>
      <c r="O817" s="50">
        <v>13.4</v>
      </c>
      <c r="P817" s="50">
        <v>10.199999999999999</v>
      </c>
      <c r="Q817" s="50">
        <v>26.1</v>
      </c>
      <c r="R817" s="50">
        <v>38</v>
      </c>
      <c r="S817" s="50">
        <v>18.100000000000001</v>
      </c>
      <c r="T817" s="50">
        <v>53</v>
      </c>
      <c r="U817" s="50">
        <v>6.24</v>
      </c>
      <c r="V817" s="50">
        <v>62.3</v>
      </c>
      <c r="W817" s="50">
        <v>56</v>
      </c>
      <c r="X817" s="50">
        <v>296</v>
      </c>
      <c r="Y817" s="50">
        <v>14.61</v>
      </c>
      <c r="Z817" s="50">
        <v>22.2</v>
      </c>
      <c r="AA817" s="50">
        <v>5.04</v>
      </c>
      <c r="AB817" s="50"/>
      <c r="AC817" s="50"/>
      <c r="AD817" s="50"/>
      <c r="AE817" s="50"/>
      <c r="AF817" s="50"/>
      <c r="AG817" s="50"/>
      <c r="AH817" s="50"/>
      <c r="AI817" s="50"/>
      <c r="AJ817" s="50"/>
    </row>
    <row r="818" spans="1:36" ht="15" customHeight="1" x14ac:dyDescent="0.25">
      <c r="A818" s="50">
        <v>164</v>
      </c>
      <c r="B818" s="50" t="s">
        <v>926</v>
      </c>
      <c r="C818" s="50" t="s">
        <v>1352</v>
      </c>
      <c r="D818" s="50">
        <v>33</v>
      </c>
      <c r="E818" s="50" t="s">
        <v>1355</v>
      </c>
      <c r="F818" s="50">
        <v>4</v>
      </c>
      <c r="G818" s="50">
        <v>6</v>
      </c>
      <c r="H818" s="50">
        <v>50</v>
      </c>
      <c r="I818" s="50">
        <v>2.61</v>
      </c>
      <c r="J818" s="50">
        <v>87</v>
      </c>
      <c r="K818" s="50">
        <v>97</v>
      </c>
      <c r="L818" s="50">
        <v>6.05</v>
      </c>
      <c r="M818" s="50">
        <v>5.71</v>
      </c>
      <c r="N818" s="50">
        <v>42</v>
      </c>
      <c r="O818" s="50">
        <v>13.4</v>
      </c>
      <c r="P818" s="50">
        <v>9.4</v>
      </c>
      <c r="Q818" s="50">
        <v>24.6</v>
      </c>
      <c r="R818" s="50">
        <v>44</v>
      </c>
      <c r="S818" s="50">
        <v>22.2</v>
      </c>
      <c r="T818" s="50">
        <v>55</v>
      </c>
      <c r="U818" s="50">
        <v>6.88</v>
      </c>
      <c r="V818" s="50">
        <v>64.3</v>
      </c>
      <c r="W818" s="50">
        <v>60</v>
      </c>
      <c r="X818" s="50">
        <v>332</v>
      </c>
      <c r="Y818" s="50">
        <v>13.06</v>
      </c>
      <c r="Z818" s="50">
        <v>23.6</v>
      </c>
      <c r="AA818" s="50">
        <v>5.03</v>
      </c>
      <c r="AB818" s="50"/>
      <c r="AC818" s="50"/>
      <c r="AD818" s="50"/>
      <c r="AE818" s="50"/>
      <c r="AF818" s="50"/>
      <c r="AG818" s="50"/>
      <c r="AH818" s="50"/>
      <c r="AI818" s="50"/>
      <c r="AJ818" s="50"/>
    </row>
    <row r="819" spans="1:36" ht="15" customHeight="1" x14ac:dyDescent="0.25">
      <c r="A819" s="50">
        <v>164</v>
      </c>
      <c r="B819" s="50" t="s">
        <v>926</v>
      </c>
      <c r="C819" s="50" t="s">
        <v>1352</v>
      </c>
      <c r="D819" s="50">
        <v>33</v>
      </c>
      <c r="E819" s="50" t="s">
        <v>1355</v>
      </c>
      <c r="F819" s="50">
        <v>8</v>
      </c>
      <c r="G819" s="50">
        <v>6</v>
      </c>
      <c r="H819" s="50">
        <v>47</v>
      </c>
      <c r="I819" s="50">
        <v>2.57</v>
      </c>
      <c r="J819" s="50">
        <v>92</v>
      </c>
      <c r="K819" s="50">
        <v>94</v>
      </c>
      <c r="L819" s="50">
        <v>5.95</v>
      </c>
      <c r="M819" s="50">
        <v>5.57</v>
      </c>
      <c r="N819" s="50">
        <v>38</v>
      </c>
      <c r="O819" s="50">
        <v>14.2</v>
      </c>
      <c r="P819" s="50">
        <v>9.6999999999999993</v>
      </c>
      <c r="Q819" s="50">
        <v>24.2</v>
      </c>
      <c r="R819" s="50">
        <v>45.5</v>
      </c>
      <c r="S819" s="50">
        <v>21.1</v>
      </c>
      <c r="T819" s="50">
        <v>56</v>
      </c>
      <c r="U819" s="50">
        <v>6</v>
      </c>
      <c r="V819" s="50">
        <v>63.7</v>
      </c>
      <c r="W819" s="50">
        <v>62</v>
      </c>
      <c r="X819" s="50">
        <v>308</v>
      </c>
      <c r="Y819" s="50">
        <v>13.42</v>
      </c>
      <c r="Z819" s="50">
        <v>26</v>
      </c>
      <c r="AA819" s="50">
        <v>5.35</v>
      </c>
      <c r="AB819" s="50"/>
      <c r="AC819" s="50"/>
      <c r="AD819" s="50"/>
      <c r="AE819" s="50"/>
      <c r="AF819" s="50"/>
      <c r="AG819" s="50"/>
      <c r="AH819" s="50"/>
      <c r="AI819" s="50"/>
      <c r="AJ819" s="50"/>
    </row>
    <row r="820" spans="1:36" ht="15" customHeight="1" x14ac:dyDescent="0.25">
      <c r="A820" s="50">
        <v>164</v>
      </c>
      <c r="B820" s="50" t="s">
        <v>926</v>
      </c>
      <c r="C820" s="50" t="s">
        <v>1352</v>
      </c>
      <c r="D820" s="50">
        <v>33</v>
      </c>
      <c r="E820" s="50" t="s">
        <v>1355</v>
      </c>
      <c r="F820" s="50">
        <v>12</v>
      </c>
      <c r="G820" s="50">
        <v>5.7</v>
      </c>
      <c r="H820" s="50">
        <v>47</v>
      </c>
      <c r="I820" s="50">
        <v>2.54</v>
      </c>
      <c r="J820" s="50">
        <v>90</v>
      </c>
      <c r="K820" s="50">
        <v>91</v>
      </c>
      <c r="L820" s="50">
        <v>5.87</v>
      </c>
      <c r="M820" s="50">
        <v>5.73</v>
      </c>
      <c r="N820" s="50">
        <v>39</v>
      </c>
      <c r="O820" s="50">
        <v>12.9</v>
      </c>
      <c r="P820" s="50">
        <v>9.3000000000000007</v>
      </c>
      <c r="Q820" s="50">
        <v>25.5</v>
      </c>
      <c r="R820" s="50">
        <v>46.2</v>
      </c>
      <c r="S820" s="50">
        <v>22.5</v>
      </c>
      <c r="T820" s="50">
        <v>59</v>
      </c>
      <c r="U820" s="50">
        <v>6.53</v>
      </c>
      <c r="V820" s="50">
        <v>65.7</v>
      </c>
      <c r="W820" s="50">
        <v>60</v>
      </c>
      <c r="X820" s="50">
        <v>341</v>
      </c>
      <c r="Y820" s="50">
        <v>12.8</v>
      </c>
      <c r="Z820" s="50">
        <v>26.7</v>
      </c>
      <c r="AA820" s="50">
        <v>5.37</v>
      </c>
      <c r="AB820" s="50"/>
      <c r="AC820" s="50"/>
      <c r="AD820" s="50"/>
      <c r="AE820" s="50"/>
      <c r="AF820" s="50"/>
      <c r="AG820" s="50"/>
      <c r="AH820" s="50"/>
      <c r="AI820" s="50"/>
      <c r="AJ820" s="50"/>
    </row>
    <row r="821" spans="1:36" ht="15" customHeight="1" x14ac:dyDescent="0.25">
      <c r="A821" s="50">
        <v>164</v>
      </c>
      <c r="B821" s="50" t="s">
        <v>926</v>
      </c>
      <c r="C821" s="50" t="s">
        <v>1352</v>
      </c>
      <c r="D821" s="50">
        <v>33</v>
      </c>
      <c r="E821" s="50" t="s">
        <v>1355</v>
      </c>
      <c r="F821" s="50">
        <v>21</v>
      </c>
      <c r="G821" s="50">
        <v>4.9000000000000004</v>
      </c>
      <c r="H821" s="50">
        <v>44</v>
      </c>
      <c r="I821" s="50">
        <v>2.3199999999999998</v>
      </c>
      <c r="J821" s="50">
        <v>96</v>
      </c>
      <c r="K821" s="50">
        <v>85</v>
      </c>
      <c r="L821" s="50">
        <v>5.12</v>
      </c>
      <c r="M821" s="50">
        <v>4.7699999999999996</v>
      </c>
      <c r="N821" s="50">
        <v>34</v>
      </c>
      <c r="O821" s="50">
        <v>11</v>
      </c>
      <c r="P821" s="50">
        <v>7.8</v>
      </c>
      <c r="Q821" s="50">
        <v>25.7</v>
      </c>
      <c r="R821" s="50">
        <v>49.4</v>
      </c>
      <c r="S821" s="50">
        <v>25</v>
      </c>
      <c r="T821" s="50">
        <v>64</v>
      </c>
      <c r="U821" s="50">
        <v>7.24</v>
      </c>
      <c r="V821" s="50">
        <v>65.7</v>
      </c>
      <c r="W821" s="50">
        <v>64</v>
      </c>
      <c r="X821" s="50">
        <v>372</v>
      </c>
      <c r="Y821" s="50">
        <v>12.16</v>
      </c>
      <c r="Z821" s="50">
        <v>31.1</v>
      </c>
      <c r="AA821" s="50">
        <v>5.49</v>
      </c>
      <c r="AB821" s="50"/>
      <c r="AC821" s="50"/>
      <c r="AD821" s="50"/>
      <c r="AE821" s="50"/>
      <c r="AF821" s="50"/>
      <c r="AG821" s="50"/>
      <c r="AH821" s="50"/>
      <c r="AI821" s="50"/>
      <c r="AJ821" s="50"/>
    </row>
    <row r="822" spans="1:36" ht="15" customHeight="1" x14ac:dyDescent="0.25">
      <c r="A822" s="50">
        <v>165</v>
      </c>
      <c r="B822" s="50" t="s">
        <v>926</v>
      </c>
      <c r="C822" s="50" t="s">
        <v>1357</v>
      </c>
      <c r="D822" s="50">
        <v>32</v>
      </c>
      <c r="E822" s="50" t="s">
        <v>1355</v>
      </c>
      <c r="F822" s="50">
        <v>0</v>
      </c>
      <c r="G822" s="50">
        <v>6.9</v>
      </c>
      <c r="H822" s="50">
        <v>51</v>
      </c>
      <c r="I822" s="50">
        <v>2.82</v>
      </c>
      <c r="J822" s="50">
        <v>94</v>
      </c>
      <c r="K822" s="50">
        <v>100</v>
      </c>
      <c r="L822" s="50">
        <v>6.19</v>
      </c>
      <c r="M822" s="50">
        <v>5.65</v>
      </c>
      <c r="N822" s="50">
        <v>34</v>
      </c>
      <c r="O822" s="50">
        <v>11.3</v>
      </c>
      <c r="P822" s="50">
        <v>13.4</v>
      </c>
      <c r="Q822" s="50">
        <v>51</v>
      </c>
      <c r="R822" s="50">
        <v>33</v>
      </c>
      <c r="S822" s="50">
        <v>17.2</v>
      </c>
      <c r="T822" s="50">
        <v>24</v>
      </c>
      <c r="U822" s="50">
        <v>14.13</v>
      </c>
      <c r="V822" s="50">
        <v>61.2</v>
      </c>
      <c r="W822" s="50">
        <v>46</v>
      </c>
      <c r="X822" s="50">
        <v>407</v>
      </c>
      <c r="Y822" s="50">
        <v>16.22</v>
      </c>
      <c r="Z822" s="50">
        <v>28.9</v>
      </c>
      <c r="AA822" s="50">
        <v>6.67</v>
      </c>
      <c r="AB822" s="50"/>
      <c r="AC822" s="50"/>
      <c r="AD822" s="50"/>
      <c r="AE822" s="50"/>
      <c r="AF822" s="50"/>
      <c r="AG822" s="50"/>
      <c r="AH822" s="50"/>
      <c r="AI822" s="50"/>
      <c r="AJ822" s="50"/>
    </row>
    <row r="823" spans="1:36" ht="15" customHeight="1" x14ac:dyDescent="0.25">
      <c r="A823" s="50">
        <v>165</v>
      </c>
      <c r="B823" s="50" t="s">
        <v>926</v>
      </c>
      <c r="C823" s="50" t="s">
        <v>1357</v>
      </c>
      <c r="D823" s="50">
        <v>32</v>
      </c>
      <c r="E823" s="50" t="s">
        <v>1355</v>
      </c>
      <c r="F823" s="50">
        <v>4</v>
      </c>
      <c r="G823" s="50">
        <v>6.5</v>
      </c>
      <c r="H823" s="50">
        <v>49</v>
      </c>
      <c r="I823" s="50">
        <v>2.68</v>
      </c>
      <c r="J823" s="50">
        <v>91</v>
      </c>
      <c r="K823" s="50">
        <v>97</v>
      </c>
      <c r="L823" s="50">
        <v>5.84</v>
      </c>
      <c r="M823" s="50">
        <v>5.45</v>
      </c>
      <c r="N823" s="50">
        <v>35</v>
      </c>
      <c r="O823" s="50">
        <v>10.199999999999999</v>
      </c>
      <c r="P823" s="50">
        <v>12.3</v>
      </c>
      <c r="Q823" s="50">
        <v>49.1</v>
      </c>
      <c r="R823" s="50">
        <v>35.9</v>
      </c>
      <c r="S823" s="50">
        <v>21.2</v>
      </c>
      <c r="T823" s="50">
        <v>28</v>
      </c>
      <c r="U823" s="50">
        <v>13.81</v>
      </c>
      <c r="V823" s="50">
        <v>61.2</v>
      </c>
      <c r="W823" s="50">
        <v>48</v>
      </c>
      <c r="X823" s="50">
        <v>410</v>
      </c>
      <c r="Y823" s="50">
        <v>15.83</v>
      </c>
      <c r="Z823" s="50">
        <v>31.7</v>
      </c>
      <c r="AA823" s="50">
        <v>6.26</v>
      </c>
      <c r="AB823" s="50"/>
      <c r="AC823" s="50"/>
      <c r="AD823" s="50"/>
      <c r="AE823" s="50"/>
      <c r="AF823" s="50"/>
      <c r="AG823" s="50"/>
      <c r="AH823" s="50"/>
      <c r="AI823" s="50"/>
      <c r="AJ823" s="50"/>
    </row>
    <row r="824" spans="1:36" ht="15" customHeight="1" x14ac:dyDescent="0.25">
      <c r="A824" s="50">
        <v>165</v>
      </c>
      <c r="B824" s="50" t="s">
        <v>926</v>
      </c>
      <c r="C824" s="50" t="s">
        <v>1357</v>
      </c>
      <c r="D824" s="50">
        <v>32</v>
      </c>
      <c r="E824" s="50" t="s">
        <v>1355</v>
      </c>
      <c r="F824" s="50">
        <v>8</v>
      </c>
      <c r="G824" s="50">
        <v>6</v>
      </c>
      <c r="H824" s="50">
        <v>48</v>
      </c>
      <c r="I824" s="50">
        <v>2.5299999999999998</v>
      </c>
      <c r="J824" s="50">
        <v>95</v>
      </c>
      <c r="K824" s="50">
        <v>94</v>
      </c>
      <c r="L824" s="50">
        <v>5.6</v>
      </c>
      <c r="M824" s="50">
        <v>4.8</v>
      </c>
      <c r="N824" s="50">
        <v>31</v>
      </c>
      <c r="O824" s="50">
        <v>11.1</v>
      </c>
      <c r="P824" s="50">
        <v>11.5</v>
      </c>
      <c r="Q824" s="50">
        <v>44.8</v>
      </c>
      <c r="R824" s="50">
        <v>39</v>
      </c>
      <c r="S824" s="50">
        <v>21.2</v>
      </c>
      <c r="T824" s="50">
        <v>29</v>
      </c>
      <c r="U824" s="50">
        <v>12.81</v>
      </c>
      <c r="V824" s="50">
        <v>60.4</v>
      </c>
      <c r="W824" s="50">
        <v>50</v>
      </c>
      <c r="X824" s="50">
        <v>419</v>
      </c>
      <c r="Y824" s="50">
        <v>15.04</v>
      </c>
      <c r="Z824" s="50">
        <v>32.700000000000003</v>
      </c>
      <c r="AA824" s="50">
        <v>6.62</v>
      </c>
      <c r="AB824" s="50"/>
      <c r="AC824" s="50"/>
      <c r="AD824" s="50"/>
      <c r="AE824" s="50"/>
      <c r="AF824" s="50"/>
      <c r="AG824" s="50"/>
      <c r="AH824" s="50"/>
      <c r="AI824" s="50"/>
      <c r="AJ824" s="50"/>
    </row>
    <row r="825" spans="1:36" ht="15" customHeight="1" x14ac:dyDescent="0.25">
      <c r="A825" s="50">
        <v>165</v>
      </c>
      <c r="B825" s="50" t="s">
        <v>926</v>
      </c>
      <c r="C825" s="50" t="s">
        <v>1357</v>
      </c>
      <c r="D825" s="50">
        <v>32</v>
      </c>
      <c r="E825" s="50" t="s">
        <v>1355</v>
      </c>
      <c r="F825" s="50">
        <v>12</v>
      </c>
      <c r="G825" s="50">
        <v>5.7</v>
      </c>
      <c r="H825" s="50">
        <v>47</v>
      </c>
      <c r="I825" s="50">
        <v>2.56</v>
      </c>
      <c r="J825" s="50">
        <v>96</v>
      </c>
      <c r="K825" s="50">
        <v>91</v>
      </c>
      <c r="L825" s="50">
        <v>5.34</v>
      </c>
      <c r="M825" s="50">
        <v>5.27</v>
      </c>
      <c r="N825" s="50">
        <v>35</v>
      </c>
      <c r="O825" s="50">
        <v>9.5</v>
      </c>
      <c r="P825" s="50">
        <v>12</v>
      </c>
      <c r="Q825" s="50">
        <v>43.5</v>
      </c>
      <c r="R825" s="50">
        <v>42.8</v>
      </c>
      <c r="S825" s="50">
        <v>22.9</v>
      </c>
      <c r="T825" s="50">
        <v>35</v>
      </c>
      <c r="U825" s="50">
        <v>11.6</v>
      </c>
      <c r="V825" s="50">
        <v>63</v>
      </c>
      <c r="W825" s="50">
        <v>51</v>
      </c>
      <c r="X825" s="50">
        <v>431</v>
      </c>
      <c r="Y825" s="50">
        <v>14.65</v>
      </c>
      <c r="Z825" s="50">
        <v>32.4</v>
      </c>
      <c r="AA825" s="50">
        <v>6.62</v>
      </c>
      <c r="AB825" s="50"/>
      <c r="AC825" s="50"/>
      <c r="AD825" s="50"/>
      <c r="AE825" s="50"/>
      <c r="AF825" s="50"/>
      <c r="AG825" s="50"/>
      <c r="AH825" s="50"/>
      <c r="AI825" s="50"/>
      <c r="AJ825" s="50"/>
    </row>
    <row r="826" spans="1:36" ht="15" customHeight="1" x14ac:dyDescent="0.25">
      <c r="A826" s="50">
        <v>165</v>
      </c>
      <c r="B826" s="50" t="s">
        <v>926</v>
      </c>
      <c r="C826" s="50" t="s">
        <v>1357</v>
      </c>
      <c r="D826" s="50">
        <v>32</v>
      </c>
      <c r="E826" s="50" t="s">
        <v>1355</v>
      </c>
      <c r="F826" s="50">
        <v>21</v>
      </c>
      <c r="G826" s="50">
        <v>5.3</v>
      </c>
      <c r="H826" s="50">
        <v>46</v>
      </c>
      <c r="I826" s="50">
        <v>2.33</v>
      </c>
      <c r="J826" s="50">
        <v>99</v>
      </c>
      <c r="K826" s="50">
        <v>85</v>
      </c>
      <c r="L826" s="50">
        <v>4.63</v>
      </c>
      <c r="M826" s="50">
        <v>4.3099999999999996</v>
      </c>
      <c r="N826" s="50">
        <v>30</v>
      </c>
      <c r="O826" s="50">
        <v>9.8000000000000007</v>
      </c>
      <c r="P826" s="50">
        <v>11.8</v>
      </c>
      <c r="Q826" s="50">
        <v>40.4</v>
      </c>
      <c r="R826" s="50">
        <v>43.7</v>
      </c>
      <c r="S826" s="50">
        <v>25.9</v>
      </c>
      <c r="T826" s="50">
        <v>35</v>
      </c>
      <c r="U826" s="50">
        <v>10.92</v>
      </c>
      <c r="V826" s="50">
        <v>63.6</v>
      </c>
      <c r="W826" s="50">
        <v>55</v>
      </c>
      <c r="X826" s="50">
        <v>446</v>
      </c>
      <c r="Y826" s="50">
        <v>14.33</v>
      </c>
      <c r="Z826" s="50">
        <v>33.5</v>
      </c>
      <c r="AA826" s="50">
        <v>6.63</v>
      </c>
      <c r="AB826" s="50"/>
      <c r="AC826" s="50"/>
      <c r="AD826" s="50"/>
      <c r="AE826" s="50"/>
      <c r="AF826" s="50"/>
      <c r="AG826" s="50"/>
      <c r="AH826" s="50"/>
      <c r="AI826" s="50"/>
      <c r="AJ826" s="50"/>
    </row>
    <row r="827" spans="1:36" ht="15" customHeight="1" x14ac:dyDescent="0.25">
      <c r="A827" s="50">
        <v>166</v>
      </c>
      <c r="B827" s="50" t="s">
        <v>926</v>
      </c>
      <c r="C827" s="50" t="s">
        <v>1352</v>
      </c>
      <c r="D827" s="50">
        <v>48</v>
      </c>
      <c r="E827" s="50" t="s">
        <v>1355</v>
      </c>
      <c r="F827" s="50">
        <v>0</v>
      </c>
      <c r="G827" s="50">
        <v>7</v>
      </c>
      <c r="H827" s="50">
        <v>42</v>
      </c>
      <c r="I827" s="50">
        <v>3.07</v>
      </c>
      <c r="J827" s="50">
        <v>105</v>
      </c>
      <c r="K827" s="50">
        <v>100</v>
      </c>
      <c r="L827" s="50">
        <v>6.15</v>
      </c>
      <c r="M827" s="50">
        <v>6.66</v>
      </c>
      <c r="N827" s="50">
        <v>35</v>
      </c>
      <c r="O827" s="50">
        <v>17.399999999999999</v>
      </c>
      <c r="P827" s="50">
        <v>14</v>
      </c>
      <c r="Q827" s="50">
        <v>51.1</v>
      </c>
      <c r="R827" s="50">
        <v>32.200000000000003</v>
      </c>
      <c r="S827" s="50">
        <v>17.5</v>
      </c>
      <c r="T827" s="50">
        <v>38</v>
      </c>
      <c r="U827" s="50">
        <v>9.75</v>
      </c>
      <c r="V827" s="50">
        <v>49.4</v>
      </c>
      <c r="W827" s="50">
        <v>40</v>
      </c>
      <c r="X827" s="50">
        <v>386</v>
      </c>
      <c r="Y827" s="50">
        <v>12.17</v>
      </c>
      <c r="Z827" s="50">
        <v>30.9</v>
      </c>
      <c r="AA827" s="50">
        <v>4.91</v>
      </c>
      <c r="AB827" s="50"/>
      <c r="AC827" s="50"/>
      <c r="AD827" s="50"/>
      <c r="AE827" s="50"/>
      <c r="AF827" s="50"/>
      <c r="AG827" s="50"/>
      <c r="AH827" s="50"/>
      <c r="AI827" s="50"/>
      <c r="AJ827" s="50"/>
    </row>
    <row r="828" spans="1:36" ht="15" customHeight="1" x14ac:dyDescent="0.25">
      <c r="A828" s="50">
        <v>166</v>
      </c>
      <c r="B828" s="50" t="s">
        <v>926</v>
      </c>
      <c r="C828" s="50" t="s">
        <v>1352</v>
      </c>
      <c r="D828" s="50">
        <v>48</v>
      </c>
      <c r="E828" s="50" t="s">
        <v>1355</v>
      </c>
      <c r="F828" s="50">
        <v>4</v>
      </c>
      <c r="G828" s="50">
        <v>6.6</v>
      </c>
      <c r="H828" s="50">
        <v>39</v>
      </c>
      <c r="I828" s="50">
        <v>3.04</v>
      </c>
      <c r="J828" s="50">
        <v>112</v>
      </c>
      <c r="K828" s="50">
        <v>97</v>
      </c>
      <c r="L828" s="50">
        <v>5.81</v>
      </c>
      <c r="M828" s="50">
        <v>6.33</v>
      </c>
      <c r="N828" s="50">
        <v>34</v>
      </c>
      <c r="O828" s="50">
        <v>16.2</v>
      </c>
      <c r="P828" s="50">
        <v>12.9</v>
      </c>
      <c r="Q828" s="50">
        <v>46.7</v>
      </c>
      <c r="R828" s="50">
        <v>37.700000000000003</v>
      </c>
      <c r="S828" s="50">
        <v>17.7</v>
      </c>
      <c r="T828" s="50">
        <v>43</v>
      </c>
      <c r="U828" s="50">
        <v>9.7799999999999994</v>
      </c>
      <c r="V828" s="50">
        <v>50.9</v>
      </c>
      <c r="W828" s="50">
        <v>39</v>
      </c>
      <c r="X828" s="50">
        <v>395</v>
      </c>
      <c r="Y828" s="50">
        <v>11.79</v>
      </c>
      <c r="Z828" s="50">
        <v>31.4</v>
      </c>
      <c r="AA828" s="50">
        <v>5.14</v>
      </c>
      <c r="AB828" s="50"/>
      <c r="AC828" s="50"/>
      <c r="AD828" s="50"/>
      <c r="AE828" s="50"/>
      <c r="AF828" s="50"/>
      <c r="AG828" s="50"/>
      <c r="AH828" s="50"/>
      <c r="AI828" s="50"/>
      <c r="AJ828" s="50"/>
    </row>
    <row r="829" spans="1:36" ht="15" customHeight="1" x14ac:dyDescent="0.25">
      <c r="A829" s="50">
        <v>166</v>
      </c>
      <c r="B829" s="50" t="s">
        <v>926</v>
      </c>
      <c r="C829" s="50" t="s">
        <v>1352</v>
      </c>
      <c r="D829" s="50">
        <v>48</v>
      </c>
      <c r="E829" s="50" t="s">
        <v>1355</v>
      </c>
      <c r="F829" s="50">
        <v>8</v>
      </c>
      <c r="G829" s="50">
        <v>6.2</v>
      </c>
      <c r="H829" s="50">
        <v>38</v>
      </c>
      <c r="I829" s="50">
        <v>2.88</v>
      </c>
      <c r="J829" s="50">
        <v>108</v>
      </c>
      <c r="K829" s="50">
        <v>94</v>
      </c>
      <c r="L829" s="50">
        <v>5.72</v>
      </c>
      <c r="M829" s="50">
        <v>5.73</v>
      </c>
      <c r="N829" s="50">
        <v>31</v>
      </c>
      <c r="O829" s="50">
        <v>15.5</v>
      </c>
      <c r="P829" s="50">
        <v>13.3</v>
      </c>
      <c r="Q829" s="50">
        <v>44.4</v>
      </c>
      <c r="R829" s="50">
        <v>38.299999999999997</v>
      </c>
      <c r="S829" s="50">
        <v>20.3</v>
      </c>
      <c r="T829" s="50">
        <v>40</v>
      </c>
      <c r="U829" s="50">
        <v>9.91</v>
      </c>
      <c r="V829" s="50">
        <v>52</v>
      </c>
      <c r="W829" s="50">
        <v>42</v>
      </c>
      <c r="X829" s="50">
        <v>401</v>
      </c>
      <c r="Y829" s="50">
        <v>11.35</v>
      </c>
      <c r="Z829" s="50">
        <v>31.9</v>
      </c>
      <c r="AA829" s="50">
        <v>5.15</v>
      </c>
      <c r="AB829" s="50"/>
      <c r="AC829" s="50"/>
      <c r="AD829" s="50"/>
      <c r="AE829" s="50"/>
      <c r="AF829" s="50"/>
      <c r="AG829" s="50"/>
      <c r="AH829" s="50"/>
      <c r="AI829" s="50"/>
      <c r="AJ829" s="50"/>
    </row>
    <row r="830" spans="1:36" ht="15" customHeight="1" x14ac:dyDescent="0.25">
      <c r="A830" s="50">
        <v>166</v>
      </c>
      <c r="B830" s="50" t="s">
        <v>926</v>
      </c>
      <c r="C830" s="50" t="s">
        <v>1352</v>
      </c>
      <c r="D830" s="50">
        <v>48</v>
      </c>
      <c r="E830" s="50" t="s">
        <v>1355</v>
      </c>
      <c r="F830" s="50">
        <v>12</v>
      </c>
      <c r="G830" s="50">
        <v>6.2</v>
      </c>
      <c r="H830" s="50">
        <v>37</v>
      </c>
      <c r="I830" s="50">
        <v>2.8</v>
      </c>
      <c r="J830" s="50">
        <v>109</v>
      </c>
      <c r="K830" s="50">
        <v>91</v>
      </c>
      <c r="L830" s="50">
        <v>5.47</v>
      </c>
      <c r="M830" s="50">
        <v>5.88</v>
      </c>
      <c r="N830" s="50">
        <v>34</v>
      </c>
      <c r="O830" s="50">
        <v>16.100000000000001</v>
      </c>
      <c r="P830" s="50">
        <v>12.4</v>
      </c>
      <c r="Q830" s="50">
        <v>44.2</v>
      </c>
      <c r="R830" s="50">
        <v>37.700000000000003</v>
      </c>
      <c r="S830" s="50">
        <v>21.6</v>
      </c>
      <c r="T830" s="50">
        <v>44</v>
      </c>
      <c r="U830" s="50">
        <v>8.6</v>
      </c>
      <c r="V830" s="50">
        <v>52.1</v>
      </c>
      <c r="W830" s="50">
        <v>44</v>
      </c>
      <c r="X830" s="50">
        <v>416</v>
      </c>
      <c r="Y830" s="50">
        <v>11.2</v>
      </c>
      <c r="Z830" s="50">
        <v>34</v>
      </c>
      <c r="AA830" s="50">
        <v>5.29</v>
      </c>
      <c r="AB830" s="50"/>
      <c r="AC830" s="50"/>
      <c r="AD830" s="50"/>
      <c r="AE830" s="50"/>
      <c r="AF830" s="50"/>
      <c r="AG830" s="50"/>
      <c r="AH830" s="50"/>
      <c r="AI830" s="50"/>
      <c r="AJ830" s="50"/>
    </row>
    <row r="831" spans="1:36" ht="15" customHeight="1" x14ac:dyDescent="0.25">
      <c r="A831" s="50">
        <v>166</v>
      </c>
      <c r="B831" s="50" t="s">
        <v>926</v>
      </c>
      <c r="C831" s="50" t="s">
        <v>1352</v>
      </c>
      <c r="D831" s="50">
        <v>48</v>
      </c>
      <c r="E831" s="50" t="s">
        <v>1355</v>
      </c>
      <c r="F831" s="50">
        <v>21</v>
      </c>
      <c r="G831" s="50">
        <v>5.2</v>
      </c>
      <c r="H831" s="50">
        <v>36</v>
      </c>
      <c r="I831" s="50">
        <v>2.57</v>
      </c>
      <c r="J831" s="50">
        <v>114</v>
      </c>
      <c r="K831" s="50">
        <v>85</v>
      </c>
      <c r="L831" s="50">
        <v>4.55</v>
      </c>
      <c r="M831" s="50">
        <v>5.39</v>
      </c>
      <c r="N831" s="50">
        <v>30</v>
      </c>
      <c r="O831" s="50">
        <v>13.8</v>
      </c>
      <c r="P831" s="50">
        <v>12.3</v>
      </c>
      <c r="Q831" s="50">
        <v>39.6</v>
      </c>
      <c r="R831" s="50">
        <v>43.2</v>
      </c>
      <c r="S831" s="50">
        <v>25.3</v>
      </c>
      <c r="T831" s="50">
        <v>50</v>
      </c>
      <c r="U831" s="50">
        <v>7.68</v>
      </c>
      <c r="V831" s="50">
        <v>57.8</v>
      </c>
      <c r="W831" s="50">
        <v>50</v>
      </c>
      <c r="X831" s="50">
        <v>450</v>
      </c>
      <c r="Y831" s="50">
        <v>10.84</v>
      </c>
      <c r="Z831" s="50">
        <v>32.6</v>
      </c>
      <c r="AA831" s="50">
        <v>5.45</v>
      </c>
      <c r="AB831" s="50"/>
      <c r="AC831" s="50"/>
      <c r="AD831" s="50"/>
      <c r="AE831" s="50"/>
      <c r="AF831" s="50"/>
      <c r="AG831" s="50"/>
      <c r="AH831" s="50"/>
      <c r="AI831" s="50"/>
      <c r="AJ831" s="50"/>
    </row>
    <row r="832" spans="1:36" ht="15" customHeight="1" x14ac:dyDescent="0.25">
      <c r="A832" s="50">
        <v>167</v>
      </c>
      <c r="B832" s="50" t="s">
        <v>926</v>
      </c>
      <c r="C832" s="50" t="s">
        <v>1352</v>
      </c>
      <c r="D832" s="50">
        <v>43</v>
      </c>
      <c r="E832" s="50" t="s">
        <v>1355</v>
      </c>
      <c r="F832" s="50">
        <v>0</v>
      </c>
      <c r="G832" s="50">
        <v>7.2</v>
      </c>
      <c r="H832" s="50">
        <v>42</v>
      </c>
      <c r="I832" s="50">
        <v>3.16</v>
      </c>
      <c r="J832" s="50">
        <v>88</v>
      </c>
      <c r="K832" s="50">
        <v>100</v>
      </c>
      <c r="L832" s="50">
        <v>6.53</v>
      </c>
      <c r="M832" s="50">
        <v>7.02</v>
      </c>
      <c r="N832" s="50">
        <v>49</v>
      </c>
      <c r="O832" s="50">
        <v>12.9</v>
      </c>
      <c r="P832" s="50">
        <v>14.3</v>
      </c>
      <c r="Q832" s="50">
        <v>38.4</v>
      </c>
      <c r="R832" s="50">
        <v>36.1</v>
      </c>
      <c r="S832" s="50">
        <v>30.6</v>
      </c>
      <c r="T832" s="50">
        <v>37</v>
      </c>
      <c r="U832" s="50">
        <v>9.8800000000000008</v>
      </c>
      <c r="V832" s="50">
        <v>57.6</v>
      </c>
      <c r="W832" s="50">
        <v>48</v>
      </c>
      <c r="X832" s="50">
        <v>433</v>
      </c>
      <c r="Y832" s="50">
        <v>18.23</v>
      </c>
      <c r="Z832" s="50">
        <v>25.4</v>
      </c>
      <c r="AA832" s="50">
        <v>5.61</v>
      </c>
      <c r="AB832" s="50"/>
      <c r="AC832" s="50"/>
      <c r="AD832" s="50"/>
      <c r="AE832" s="50"/>
      <c r="AF832" s="50"/>
      <c r="AG832" s="50"/>
      <c r="AH832" s="50"/>
      <c r="AI832" s="50"/>
      <c r="AJ832" s="50"/>
    </row>
    <row r="833" spans="1:36" ht="15" customHeight="1" x14ac:dyDescent="0.25">
      <c r="A833" s="50">
        <v>167</v>
      </c>
      <c r="B833" s="50" t="s">
        <v>926</v>
      </c>
      <c r="C833" s="50" t="s">
        <v>1352</v>
      </c>
      <c r="D833" s="50">
        <v>43</v>
      </c>
      <c r="E833" s="50" t="s">
        <v>1355</v>
      </c>
      <c r="F833" s="50">
        <v>4</v>
      </c>
      <c r="G833" s="50">
        <v>6.7</v>
      </c>
      <c r="H833" s="50">
        <v>41</v>
      </c>
      <c r="I833" s="50">
        <v>3.09</v>
      </c>
      <c r="J833" s="50">
        <v>92</v>
      </c>
      <c r="K833" s="50">
        <v>97</v>
      </c>
      <c r="L833" s="50">
        <v>6.11</v>
      </c>
      <c r="M833" s="50">
        <v>6.62</v>
      </c>
      <c r="N833" s="50">
        <v>46</v>
      </c>
      <c r="O833" s="50">
        <v>13.1</v>
      </c>
      <c r="P833" s="50">
        <v>13.3</v>
      </c>
      <c r="Q833" s="50">
        <v>38.799999999999997</v>
      </c>
      <c r="R833" s="50">
        <v>42.1</v>
      </c>
      <c r="S833" s="50">
        <v>32.299999999999997</v>
      </c>
      <c r="T833" s="50">
        <v>38</v>
      </c>
      <c r="U833" s="50">
        <v>9.4</v>
      </c>
      <c r="V833" s="50">
        <v>59.6</v>
      </c>
      <c r="W833" s="50">
        <v>49</v>
      </c>
      <c r="X833" s="50">
        <v>448</v>
      </c>
      <c r="Y833" s="50">
        <v>17.93</v>
      </c>
      <c r="Z833" s="50">
        <v>27.5</v>
      </c>
      <c r="AA833" s="50">
        <v>5.51</v>
      </c>
      <c r="AB833" s="50"/>
      <c r="AC833" s="50"/>
      <c r="AD833" s="50"/>
      <c r="AE833" s="50"/>
      <c r="AF833" s="50"/>
      <c r="AG833" s="50"/>
      <c r="AH833" s="50"/>
      <c r="AI833" s="50"/>
      <c r="AJ833" s="50"/>
    </row>
    <row r="834" spans="1:36" ht="15" customHeight="1" x14ac:dyDescent="0.25">
      <c r="A834" s="50">
        <v>167</v>
      </c>
      <c r="B834" s="50" t="s">
        <v>926</v>
      </c>
      <c r="C834" s="50" t="s">
        <v>1352</v>
      </c>
      <c r="D834" s="50">
        <v>43</v>
      </c>
      <c r="E834" s="50" t="s">
        <v>1355</v>
      </c>
      <c r="F834" s="50">
        <v>8</v>
      </c>
      <c r="G834" s="50">
        <v>6.3</v>
      </c>
      <c r="H834" s="50">
        <v>38</v>
      </c>
      <c r="I834" s="50">
        <v>3.08</v>
      </c>
      <c r="J834" s="50">
        <v>91</v>
      </c>
      <c r="K834" s="50">
        <v>94</v>
      </c>
      <c r="L834" s="50">
        <v>5.73</v>
      </c>
      <c r="M834" s="50">
        <v>5.99</v>
      </c>
      <c r="N834" s="50">
        <v>44</v>
      </c>
      <c r="O834" s="50">
        <v>12.7</v>
      </c>
      <c r="P834" s="50">
        <v>12.1</v>
      </c>
      <c r="Q834" s="50">
        <v>37.200000000000003</v>
      </c>
      <c r="R834" s="50">
        <v>41.2</v>
      </c>
      <c r="S834" s="50">
        <v>32.700000000000003</v>
      </c>
      <c r="T834" s="50">
        <v>40</v>
      </c>
      <c r="U834" s="50">
        <v>10.59</v>
      </c>
      <c r="V834" s="50">
        <v>60.2</v>
      </c>
      <c r="W834" s="50">
        <v>51</v>
      </c>
      <c r="X834" s="50">
        <v>453</v>
      </c>
      <c r="Y834" s="50">
        <v>17.62</v>
      </c>
      <c r="Z834" s="50">
        <v>27.3</v>
      </c>
      <c r="AA834" s="50">
        <v>5.64</v>
      </c>
      <c r="AB834" s="50"/>
      <c r="AC834" s="50"/>
      <c r="AD834" s="50"/>
      <c r="AE834" s="50"/>
      <c r="AF834" s="50"/>
      <c r="AG834" s="50"/>
      <c r="AH834" s="50"/>
      <c r="AI834" s="50"/>
      <c r="AJ834" s="50"/>
    </row>
    <row r="835" spans="1:36" ht="15" customHeight="1" x14ac:dyDescent="0.25">
      <c r="A835" s="50">
        <v>167</v>
      </c>
      <c r="B835" s="50" t="s">
        <v>926</v>
      </c>
      <c r="C835" s="50" t="s">
        <v>1352</v>
      </c>
      <c r="D835" s="50">
        <v>43</v>
      </c>
      <c r="E835" s="50" t="s">
        <v>1355</v>
      </c>
      <c r="F835" s="50">
        <v>12</v>
      </c>
      <c r="G835" s="50">
        <v>5.8</v>
      </c>
      <c r="H835" s="50">
        <v>39</v>
      </c>
      <c r="I835" s="50">
        <v>2.81</v>
      </c>
      <c r="J835" s="50">
        <v>94</v>
      </c>
      <c r="K835" s="50">
        <v>91</v>
      </c>
      <c r="L835" s="50">
        <v>5.36</v>
      </c>
      <c r="M835" s="50">
        <v>5.58</v>
      </c>
      <c r="N835" s="50">
        <v>43</v>
      </c>
      <c r="O835" s="50">
        <v>12.1</v>
      </c>
      <c r="P835" s="50">
        <v>12.2</v>
      </c>
      <c r="Q835" s="50">
        <v>33.5</v>
      </c>
      <c r="R835" s="50">
        <v>47.8</v>
      </c>
      <c r="S835" s="50">
        <v>34.6</v>
      </c>
      <c r="T835" s="50">
        <v>44</v>
      </c>
      <c r="U835" s="50">
        <v>8.43</v>
      </c>
      <c r="V835" s="50">
        <v>62.6</v>
      </c>
      <c r="W835" s="50">
        <v>55</v>
      </c>
      <c r="X835" s="50">
        <v>469</v>
      </c>
      <c r="Y835" s="50">
        <v>16.170000000000002</v>
      </c>
      <c r="Z835" s="50">
        <v>30.7</v>
      </c>
      <c r="AA835" s="50">
        <v>6.13</v>
      </c>
      <c r="AB835" s="50"/>
      <c r="AC835" s="50"/>
      <c r="AD835" s="50"/>
      <c r="AE835" s="50"/>
      <c r="AF835" s="50"/>
      <c r="AG835" s="50"/>
      <c r="AH835" s="50"/>
      <c r="AI835" s="50"/>
      <c r="AJ835" s="50"/>
    </row>
    <row r="836" spans="1:36" ht="15" customHeight="1" x14ac:dyDescent="0.25">
      <c r="A836" s="50">
        <v>167</v>
      </c>
      <c r="B836" s="50" t="s">
        <v>926</v>
      </c>
      <c r="C836" s="50" t="s">
        <v>1352</v>
      </c>
      <c r="D836" s="50">
        <v>43</v>
      </c>
      <c r="E836" s="50" t="s">
        <v>1355</v>
      </c>
      <c r="F836" s="50">
        <v>21</v>
      </c>
      <c r="G836" s="50">
        <v>5.3</v>
      </c>
      <c r="H836" s="50">
        <v>39</v>
      </c>
      <c r="I836" s="50">
        <v>2.71</v>
      </c>
      <c r="J836" s="50">
        <v>99</v>
      </c>
      <c r="K836" s="50">
        <v>85</v>
      </c>
      <c r="L836" s="50">
        <v>4.83</v>
      </c>
      <c r="M836" s="50">
        <v>4.91</v>
      </c>
      <c r="N836" s="50">
        <v>41</v>
      </c>
      <c r="O836" s="50">
        <v>12.3</v>
      </c>
      <c r="P836" s="50">
        <v>12.1</v>
      </c>
      <c r="Q836" s="50">
        <v>34.9</v>
      </c>
      <c r="R836" s="50">
        <v>51.5</v>
      </c>
      <c r="S836" s="50">
        <v>35.200000000000003</v>
      </c>
      <c r="T836" s="50">
        <v>46</v>
      </c>
      <c r="U836" s="50">
        <v>7.6</v>
      </c>
      <c r="V836" s="50">
        <v>61.6</v>
      </c>
      <c r="W836" s="50">
        <v>60</v>
      </c>
      <c r="X836" s="50">
        <v>451</v>
      </c>
      <c r="Y836" s="50">
        <v>16.079999999999998</v>
      </c>
      <c r="Z836" s="50">
        <v>32</v>
      </c>
      <c r="AA836" s="50">
        <v>6.02</v>
      </c>
      <c r="AB836" s="50"/>
      <c r="AC836" s="50"/>
      <c r="AD836" s="50"/>
      <c r="AE836" s="50"/>
      <c r="AF836" s="50"/>
      <c r="AG836" s="50"/>
      <c r="AH836" s="50"/>
      <c r="AI836" s="50"/>
      <c r="AJ836" s="50"/>
    </row>
    <row r="837" spans="1:36" ht="15" customHeight="1" x14ac:dyDescent="0.25">
      <c r="A837" s="50">
        <v>168</v>
      </c>
      <c r="B837" s="50" t="s">
        <v>926</v>
      </c>
      <c r="C837" s="50" t="s">
        <v>1352</v>
      </c>
      <c r="D837" s="50">
        <v>38</v>
      </c>
      <c r="E837" s="50" t="s">
        <v>1359</v>
      </c>
      <c r="F837" s="50">
        <v>0</v>
      </c>
      <c r="G837" s="50">
        <v>6.4</v>
      </c>
      <c r="H837" s="50">
        <v>40</v>
      </c>
      <c r="I837" s="50">
        <v>2.5</v>
      </c>
      <c r="J837" s="50">
        <v>100</v>
      </c>
      <c r="K837" s="50">
        <v>100</v>
      </c>
      <c r="L837" s="50">
        <v>6.69</v>
      </c>
      <c r="M837" s="50">
        <v>6.64</v>
      </c>
      <c r="N837" s="50">
        <v>58</v>
      </c>
      <c r="O837" s="50">
        <v>13</v>
      </c>
      <c r="P837" s="50">
        <v>13.7</v>
      </c>
      <c r="Q837" s="50">
        <v>39.9</v>
      </c>
      <c r="R837" s="50">
        <v>38</v>
      </c>
      <c r="S837" s="50">
        <v>19.899999999999999</v>
      </c>
      <c r="T837" s="50">
        <v>25</v>
      </c>
      <c r="U837" s="50">
        <v>12.93</v>
      </c>
      <c r="V837" s="50">
        <v>54</v>
      </c>
      <c r="W837" s="50">
        <v>55</v>
      </c>
      <c r="X837" s="50">
        <v>308</v>
      </c>
      <c r="Y837" s="50">
        <v>14.8</v>
      </c>
      <c r="Z837" s="50">
        <v>20.2</v>
      </c>
      <c r="AA837" s="50">
        <v>5.84</v>
      </c>
      <c r="AB837" s="50"/>
      <c r="AC837" s="50"/>
      <c r="AD837" s="50"/>
      <c r="AE837" s="50"/>
      <c r="AF837" s="50"/>
      <c r="AG837" s="50"/>
      <c r="AH837" s="50"/>
      <c r="AI837" s="50"/>
      <c r="AJ837" s="50"/>
    </row>
    <row r="838" spans="1:36" ht="15" customHeight="1" x14ac:dyDescent="0.25">
      <c r="A838" s="50">
        <v>168</v>
      </c>
      <c r="B838" s="50" t="s">
        <v>926</v>
      </c>
      <c r="C838" s="50" t="s">
        <v>1352</v>
      </c>
      <c r="D838" s="50">
        <v>38</v>
      </c>
      <c r="E838" s="50" t="s">
        <v>1359</v>
      </c>
      <c r="F838" s="50">
        <v>4</v>
      </c>
      <c r="G838" s="50">
        <v>6.1</v>
      </c>
      <c r="H838" s="50">
        <v>41</v>
      </c>
      <c r="I838" s="50">
        <v>2.44</v>
      </c>
      <c r="J838" s="50">
        <v>102</v>
      </c>
      <c r="K838" s="50">
        <v>97</v>
      </c>
      <c r="L838" s="50">
        <v>6.19</v>
      </c>
      <c r="M838" s="50">
        <v>6.42</v>
      </c>
      <c r="N838" s="50">
        <v>56</v>
      </c>
      <c r="O838" s="50">
        <v>12</v>
      </c>
      <c r="P838" s="50">
        <v>12.8</v>
      </c>
      <c r="Q838" s="50">
        <v>40</v>
      </c>
      <c r="R838" s="50">
        <v>40.9</v>
      </c>
      <c r="S838" s="50">
        <v>19.5</v>
      </c>
      <c r="T838" s="50">
        <v>23</v>
      </c>
      <c r="U838" s="50">
        <v>11.77</v>
      </c>
      <c r="V838" s="50">
        <v>56.4</v>
      </c>
      <c r="W838" s="50">
        <v>59</v>
      </c>
      <c r="X838" s="50">
        <v>319</v>
      </c>
      <c r="Y838" s="50">
        <v>14.89</v>
      </c>
      <c r="Z838" s="50">
        <v>21.6</v>
      </c>
      <c r="AA838" s="50">
        <v>5.78</v>
      </c>
      <c r="AB838" s="50"/>
      <c r="AC838" s="50"/>
      <c r="AD838" s="50"/>
      <c r="AE838" s="50"/>
      <c r="AF838" s="50"/>
      <c r="AG838" s="50"/>
      <c r="AH838" s="50"/>
      <c r="AI838" s="50"/>
      <c r="AJ838" s="50"/>
    </row>
    <row r="839" spans="1:36" ht="15" customHeight="1" x14ac:dyDescent="0.25">
      <c r="A839" s="50">
        <v>168</v>
      </c>
      <c r="B839" s="50" t="s">
        <v>926</v>
      </c>
      <c r="C839" s="50" t="s">
        <v>1352</v>
      </c>
      <c r="D839" s="50">
        <v>38</v>
      </c>
      <c r="E839" s="50" t="s">
        <v>1359</v>
      </c>
      <c r="F839" s="50">
        <v>8</v>
      </c>
      <c r="G839" s="50">
        <v>5.8</v>
      </c>
      <c r="H839" s="50">
        <v>39</v>
      </c>
      <c r="I839" s="50">
        <v>2.35</v>
      </c>
      <c r="J839" s="50">
        <v>105</v>
      </c>
      <c r="K839" s="50">
        <v>94</v>
      </c>
      <c r="L839" s="50">
        <v>5.93</v>
      </c>
      <c r="M839" s="50">
        <v>6.07</v>
      </c>
      <c r="N839" s="50">
        <v>56</v>
      </c>
      <c r="O839" s="50">
        <v>11.7</v>
      </c>
      <c r="P839" s="50">
        <v>10.9</v>
      </c>
      <c r="Q839" s="50">
        <v>38.200000000000003</v>
      </c>
      <c r="R839" s="50">
        <v>41.5</v>
      </c>
      <c r="S839" s="50">
        <v>24</v>
      </c>
      <c r="T839" s="50">
        <v>29</v>
      </c>
      <c r="U839" s="50">
        <v>10.81</v>
      </c>
      <c r="V839" s="50">
        <v>58.5</v>
      </c>
      <c r="W839" s="50">
        <v>60</v>
      </c>
      <c r="X839" s="50">
        <v>328</v>
      </c>
      <c r="Y839" s="50">
        <v>15.13</v>
      </c>
      <c r="Z839" s="50">
        <v>22.9</v>
      </c>
      <c r="AA839" s="50">
        <v>5.8</v>
      </c>
      <c r="AB839" s="50"/>
      <c r="AC839" s="50"/>
      <c r="AD839" s="50"/>
      <c r="AE839" s="50"/>
      <c r="AF839" s="50"/>
      <c r="AG839" s="50"/>
      <c r="AH839" s="50"/>
      <c r="AI839" s="50"/>
      <c r="AJ839" s="50"/>
    </row>
    <row r="840" spans="1:36" ht="15" customHeight="1" x14ac:dyDescent="0.25">
      <c r="A840" s="50">
        <v>168</v>
      </c>
      <c r="B840" s="50" t="s">
        <v>926</v>
      </c>
      <c r="C840" s="50" t="s">
        <v>1352</v>
      </c>
      <c r="D840" s="50">
        <v>38</v>
      </c>
      <c r="E840" s="50" t="s">
        <v>1359</v>
      </c>
      <c r="F840" s="50">
        <v>12</v>
      </c>
      <c r="G840" s="50">
        <v>5.4</v>
      </c>
      <c r="H840" s="50">
        <v>41</v>
      </c>
      <c r="I840" s="50">
        <v>2.2400000000000002</v>
      </c>
      <c r="J840" s="50">
        <v>105</v>
      </c>
      <c r="K840" s="50">
        <v>91</v>
      </c>
      <c r="L840" s="50">
        <v>5.79</v>
      </c>
      <c r="M840" s="50">
        <v>5.69</v>
      </c>
      <c r="N840" s="50">
        <v>53</v>
      </c>
      <c r="O840" s="50">
        <v>12.4</v>
      </c>
      <c r="P840" s="50">
        <v>10.4</v>
      </c>
      <c r="Q840" s="50">
        <v>39.799999999999997</v>
      </c>
      <c r="R840" s="50">
        <v>44.3</v>
      </c>
      <c r="S840" s="50">
        <v>24.5</v>
      </c>
      <c r="T840" s="50">
        <v>31</v>
      </c>
      <c r="U840" s="50">
        <v>10.87</v>
      </c>
      <c r="V840" s="50">
        <v>58</v>
      </c>
      <c r="W840" s="50">
        <v>61</v>
      </c>
      <c r="X840" s="50">
        <v>350</v>
      </c>
      <c r="Y840" s="50">
        <v>14.69</v>
      </c>
      <c r="Z840" s="50">
        <v>25.9</v>
      </c>
      <c r="AA840" s="50">
        <v>6.01</v>
      </c>
      <c r="AB840" s="50"/>
      <c r="AC840" s="50"/>
      <c r="AD840" s="50"/>
      <c r="AE840" s="50"/>
      <c r="AF840" s="50"/>
      <c r="AG840" s="50"/>
      <c r="AH840" s="50"/>
      <c r="AI840" s="50"/>
      <c r="AJ840" s="50"/>
    </row>
    <row r="841" spans="1:36" ht="15" customHeight="1" x14ac:dyDescent="0.25">
      <c r="A841" s="50">
        <v>168</v>
      </c>
      <c r="B841" s="50" t="s">
        <v>926</v>
      </c>
      <c r="C841" s="50" t="s">
        <v>1352</v>
      </c>
      <c r="D841" s="50">
        <v>38</v>
      </c>
      <c r="E841" s="50" t="s">
        <v>1359</v>
      </c>
      <c r="F841" s="50">
        <v>21</v>
      </c>
      <c r="G841" s="50">
        <v>4.5999999999999996</v>
      </c>
      <c r="H841" s="50">
        <v>37</v>
      </c>
      <c r="I841" s="50">
        <v>2.02</v>
      </c>
      <c r="J841" s="50">
        <v>108</v>
      </c>
      <c r="K841" s="50">
        <v>85</v>
      </c>
      <c r="L841" s="50">
        <v>4.74</v>
      </c>
      <c r="M841" s="50">
        <v>4.62</v>
      </c>
      <c r="N841" s="50">
        <v>47</v>
      </c>
      <c r="O841" s="50">
        <v>10.6</v>
      </c>
      <c r="P841" s="50">
        <v>10.7</v>
      </c>
      <c r="Q841" s="50">
        <v>37</v>
      </c>
      <c r="R841" s="50">
        <v>52.2</v>
      </c>
      <c r="S841" s="50">
        <v>27.1</v>
      </c>
      <c r="T841" s="50">
        <v>35</v>
      </c>
      <c r="U841" s="50">
        <v>8.3699999999999992</v>
      </c>
      <c r="V841" s="50">
        <v>60.6</v>
      </c>
      <c r="W841" s="50">
        <v>65</v>
      </c>
      <c r="X841" s="50">
        <v>393</v>
      </c>
      <c r="Y841" s="50">
        <v>12.93</v>
      </c>
      <c r="Z841" s="50">
        <v>27.5</v>
      </c>
      <c r="AA841" s="50">
        <v>6.25</v>
      </c>
      <c r="AB841" s="50"/>
      <c r="AC841" s="50"/>
      <c r="AD841" s="50"/>
      <c r="AE841" s="50"/>
      <c r="AF841" s="50"/>
      <c r="AG841" s="50"/>
      <c r="AH841" s="50"/>
      <c r="AI841" s="50"/>
      <c r="AJ841" s="50"/>
    </row>
    <row r="842" spans="1:36" ht="15" customHeight="1" x14ac:dyDescent="0.25">
      <c r="A842" s="50">
        <v>169</v>
      </c>
      <c r="B842" s="50" t="s">
        <v>926</v>
      </c>
      <c r="C842" s="50" t="s">
        <v>1352</v>
      </c>
      <c r="D842" s="50">
        <v>42</v>
      </c>
      <c r="E842" s="50" t="s">
        <v>1355</v>
      </c>
      <c r="F842" s="50">
        <v>0</v>
      </c>
      <c r="G842" s="50">
        <v>6.9</v>
      </c>
      <c r="H842" s="50">
        <v>46</v>
      </c>
      <c r="I842" s="50">
        <v>3.41</v>
      </c>
      <c r="J842" s="50">
        <v>95</v>
      </c>
      <c r="K842" s="50">
        <v>100</v>
      </c>
      <c r="L842" s="50">
        <v>6.89</v>
      </c>
      <c r="M842" s="50">
        <v>6</v>
      </c>
      <c r="N842" s="50">
        <v>38</v>
      </c>
      <c r="O842" s="50">
        <v>15.2</v>
      </c>
      <c r="P842" s="50">
        <v>8.6</v>
      </c>
      <c r="Q842" s="50">
        <v>43</v>
      </c>
      <c r="R842" s="50">
        <v>21.9</v>
      </c>
      <c r="S842" s="50">
        <v>23.3</v>
      </c>
      <c r="T842" s="50">
        <v>41</v>
      </c>
      <c r="U842" s="50">
        <v>8.27</v>
      </c>
      <c r="V842" s="50">
        <v>60.8</v>
      </c>
      <c r="W842" s="50">
        <v>51</v>
      </c>
      <c r="X842" s="50">
        <v>345</v>
      </c>
      <c r="Y842" s="50">
        <v>13.36</v>
      </c>
      <c r="Z842" s="50">
        <v>24.4</v>
      </c>
      <c r="AA842" s="50">
        <v>4.63</v>
      </c>
      <c r="AB842" s="50"/>
      <c r="AC842" s="50"/>
      <c r="AD842" s="50"/>
      <c r="AE842" s="50"/>
      <c r="AF842" s="50"/>
      <c r="AG842" s="50"/>
      <c r="AH842" s="50"/>
      <c r="AI842" s="50"/>
      <c r="AJ842" s="50"/>
    </row>
    <row r="843" spans="1:36" ht="15" customHeight="1" x14ac:dyDescent="0.25">
      <c r="A843" s="50">
        <v>169</v>
      </c>
      <c r="B843" s="50" t="s">
        <v>926</v>
      </c>
      <c r="C843" s="50" t="s">
        <v>1352</v>
      </c>
      <c r="D843" s="50">
        <v>42</v>
      </c>
      <c r="E843" s="50" t="s">
        <v>1355</v>
      </c>
      <c r="F843" s="50">
        <v>4</v>
      </c>
      <c r="G843" s="50">
        <v>6.1</v>
      </c>
      <c r="H843" s="50">
        <v>42</v>
      </c>
      <c r="I843" s="50">
        <v>3.29</v>
      </c>
      <c r="J843" s="50">
        <v>97</v>
      </c>
      <c r="K843" s="50">
        <v>97</v>
      </c>
      <c r="L843" s="50">
        <v>6.09</v>
      </c>
      <c r="M843" s="50">
        <v>5.38</v>
      </c>
      <c r="N843" s="50">
        <v>35</v>
      </c>
      <c r="O843" s="50">
        <v>13.8</v>
      </c>
      <c r="P843" s="50">
        <v>9</v>
      </c>
      <c r="Q843" s="50">
        <v>43</v>
      </c>
      <c r="R843" s="50">
        <v>30.5</v>
      </c>
      <c r="S843" s="50">
        <v>24</v>
      </c>
      <c r="T843" s="50">
        <v>42</v>
      </c>
      <c r="U843" s="50">
        <v>8.7200000000000006</v>
      </c>
      <c r="V843" s="50">
        <v>62.3</v>
      </c>
      <c r="W843" s="50">
        <v>55</v>
      </c>
      <c r="X843" s="50">
        <v>355</v>
      </c>
      <c r="Y843" s="50">
        <v>11.94</v>
      </c>
      <c r="Z843" s="50">
        <v>26.1</v>
      </c>
      <c r="AA843" s="50">
        <v>4.72</v>
      </c>
      <c r="AB843" s="50"/>
      <c r="AC843" s="50"/>
      <c r="AD843" s="50"/>
      <c r="AE843" s="50"/>
      <c r="AF843" s="50"/>
      <c r="AG843" s="50"/>
      <c r="AH843" s="50"/>
      <c r="AI843" s="50"/>
      <c r="AJ843" s="50"/>
    </row>
    <row r="844" spans="1:36" ht="15" customHeight="1" x14ac:dyDescent="0.25">
      <c r="A844" s="50">
        <v>169</v>
      </c>
      <c r="B844" s="50" t="s">
        <v>926</v>
      </c>
      <c r="C844" s="50" t="s">
        <v>1352</v>
      </c>
      <c r="D844" s="50">
        <v>42</v>
      </c>
      <c r="E844" s="50" t="s">
        <v>1355</v>
      </c>
      <c r="F844" s="50">
        <v>8</v>
      </c>
      <c r="G844" s="50">
        <v>6.1</v>
      </c>
      <c r="H844" s="50">
        <v>43</v>
      </c>
      <c r="I844" s="50">
        <v>3.13</v>
      </c>
      <c r="J844" s="50">
        <v>97</v>
      </c>
      <c r="K844" s="50">
        <v>94</v>
      </c>
      <c r="L844" s="50">
        <v>6.61</v>
      </c>
      <c r="M844" s="50">
        <v>5.46</v>
      </c>
      <c r="N844" s="50">
        <v>33</v>
      </c>
      <c r="O844" s="50">
        <v>14.2</v>
      </c>
      <c r="P844" s="50">
        <v>9.1</v>
      </c>
      <c r="Q844" s="50">
        <v>42.5</v>
      </c>
      <c r="R844" s="50">
        <v>28.8</v>
      </c>
      <c r="S844" s="50">
        <v>25.1</v>
      </c>
      <c r="T844" s="50">
        <v>47</v>
      </c>
      <c r="U844" s="50">
        <v>8.8699999999999992</v>
      </c>
      <c r="V844" s="50">
        <v>61.5</v>
      </c>
      <c r="W844" s="50">
        <v>54</v>
      </c>
      <c r="X844" s="50">
        <v>364</v>
      </c>
      <c r="Y844" s="50">
        <v>12.92</v>
      </c>
      <c r="Z844" s="50">
        <v>27.1</v>
      </c>
      <c r="AA844" s="50">
        <v>5.0199999999999996</v>
      </c>
      <c r="AB844" s="50"/>
      <c r="AC844" s="50"/>
      <c r="AD844" s="50"/>
      <c r="AE844" s="50"/>
      <c r="AF844" s="50"/>
      <c r="AG844" s="50"/>
      <c r="AH844" s="50"/>
      <c r="AI844" s="50"/>
      <c r="AJ844" s="50"/>
    </row>
    <row r="845" spans="1:36" ht="15" customHeight="1" x14ac:dyDescent="0.25">
      <c r="A845" s="50">
        <v>169</v>
      </c>
      <c r="B845" s="50" t="s">
        <v>926</v>
      </c>
      <c r="C845" s="50" t="s">
        <v>1352</v>
      </c>
      <c r="D845" s="50">
        <v>42</v>
      </c>
      <c r="E845" s="50" t="s">
        <v>1355</v>
      </c>
      <c r="F845" s="50">
        <v>12</v>
      </c>
      <c r="G845" s="50">
        <v>5.3</v>
      </c>
      <c r="H845" s="50">
        <v>42</v>
      </c>
      <c r="I845" s="50">
        <v>3.09</v>
      </c>
      <c r="J845" s="50">
        <v>100</v>
      </c>
      <c r="K845" s="50">
        <v>91</v>
      </c>
      <c r="L845" s="50">
        <v>5.45</v>
      </c>
      <c r="M845" s="50">
        <v>4.8899999999999997</v>
      </c>
      <c r="N845" s="50">
        <v>35</v>
      </c>
      <c r="O845" s="50">
        <v>11.9</v>
      </c>
      <c r="P845" s="50">
        <v>8.1999999999999993</v>
      </c>
      <c r="Q845" s="50">
        <v>39.4</v>
      </c>
      <c r="R845" s="50">
        <v>36.1</v>
      </c>
      <c r="S845" s="50">
        <v>24.9</v>
      </c>
      <c r="T845" s="50">
        <v>53</v>
      </c>
      <c r="U845" s="50">
        <v>7.77</v>
      </c>
      <c r="V845" s="50">
        <v>63.8</v>
      </c>
      <c r="W845" s="50">
        <v>60</v>
      </c>
      <c r="X845" s="50">
        <v>385</v>
      </c>
      <c r="Y845" s="50">
        <v>11.82</v>
      </c>
      <c r="Z845" s="50">
        <v>30.3</v>
      </c>
      <c r="AA845" s="50">
        <v>5.53</v>
      </c>
      <c r="AB845" s="50"/>
      <c r="AC845" s="50"/>
      <c r="AD845" s="50"/>
      <c r="AE845" s="50"/>
      <c r="AF845" s="50"/>
      <c r="AG845" s="50"/>
      <c r="AH845" s="50"/>
      <c r="AI845" s="50"/>
      <c r="AJ845" s="50"/>
    </row>
    <row r="846" spans="1:36" ht="15" customHeight="1" x14ac:dyDescent="0.25">
      <c r="A846" s="50">
        <v>169</v>
      </c>
      <c r="B846" s="50" t="s">
        <v>926</v>
      </c>
      <c r="C846" s="50" t="s">
        <v>1352</v>
      </c>
      <c r="D846" s="50">
        <v>42</v>
      </c>
      <c r="E846" s="50" t="s">
        <v>1355</v>
      </c>
      <c r="F846" s="50">
        <v>21</v>
      </c>
      <c r="G846" s="50">
        <v>4.9000000000000004</v>
      </c>
      <c r="H846" s="50">
        <v>42</v>
      </c>
      <c r="I846" s="50">
        <v>2.9</v>
      </c>
      <c r="J846" s="50">
        <v>104</v>
      </c>
      <c r="K846" s="50">
        <v>85</v>
      </c>
      <c r="L846" s="50">
        <v>4.95</v>
      </c>
      <c r="M846" s="50">
        <v>4.43</v>
      </c>
      <c r="N846" s="50">
        <v>34</v>
      </c>
      <c r="O846" s="50">
        <v>12.9</v>
      </c>
      <c r="P846" s="50">
        <v>8.1999999999999993</v>
      </c>
      <c r="Q846" s="50">
        <v>37.299999999999997</v>
      </c>
      <c r="R846" s="50">
        <v>42.3</v>
      </c>
      <c r="S846" s="50">
        <v>29.3</v>
      </c>
      <c r="T846" s="50">
        <v>59</v>
      </c>
      <c r="U846" s="50">
        <v>6.58</v>
      </c>
      <c r="V846" s="50">
        <v>64.2</v>
      </c>
      <c r="W846" s="50">
        <v>61</v>
      </c>
      <c r="X846" s="50">
        <v>386</v>
      </c>
      <c r="Y846" s="50">
        <v>11.7</v>
      </c>
      <c r="Z846" s="50">
        <v>30.6</v>
      </c>
      <c r="AA846" s="50">
        <v>5.63</v>
      </c>
      <c r="AB846" s="50"/>
      <c r="AC846" s="50"/>
      <c r="AD846" s="50"/>
      <c r="AE846" s="50"/>
      <c r="AF846" s="50"/>
      <c r="AG846" s="50"/>
      <c r="AH846" s="50"/>
      <c r="AI846" s="50"/>
      <c r="AJ846" s="50"/>
    </row>
    <row r="847" spans="1:36" ht="15" customHeight="1" x14ac:dyDescent="0.25">
      <c r="A847" s="50">
        <v>170</v>
      </c>
      <c r="B847" s="50" t="s">
        <v>926</v>
      </c>
      <c r="C847" s="50" t="s">
        <v>1352</v>
      </c>
      <c r="D847" s="50">
        <v>27</v>
      </c>
      <c r="E847" s="50" t="s">
        <v>1360</v>
      </c>
      <c r="F847" s="50">
        <v>0</v>
      </c>
      <c r="G847" s="50">
        <v>7.3</v>
      </c>
      <c r="H847" s="50">
        <v>46</v>
      </c>
      <c r="I847" s="50">
        <v>3.9</v>
      </c>
      <c r="J847" s="50">
        <v>102</v>
      </c>
      <c r="K847" s="50">
        <v>100</v>
      </c>
      <c r="L847" s="50">
        <v>7.2</v>
      </c>
      <c r="M847" s="50">
        <v>6.21</v>
      </c>
      <c r="N847" s="50">
        <v>56</v>
      </c>
      <c r="O847" s="50">
        <v>14.9</v>
      </c>
      <c r="P847" s="50">
        <v>12.7</v>
      </c>
      <c r="Q847" s="50">
        <v>58.8</v>
      </c>
      <c r="R847" s="50">
        <v>34.9</v>
      </c>
      <c r="S847" s="50">
        <v>15.2</v>
      </c>
      <c r="T847" s="50">
        <v>38</v>
      </c>
      <c r="U847" s="50">
        <v>15.64</v>
      </c>
      <c r="V847" s="50">
        <v>53.5</v>
      </c>
      <c r="W847" s="50">
        <v>42</v>
      </c>
      <c r="X847" s="50">
        <v>325</v>
      </c>
      <c r="Y847" s="50">
        <v>12.01</v>
      </c>
      <c r="Z847" s="50">
        <v>29.5</v>
      </c>
      <c r="AA847" s="50">
        <v>5.42</v>
      </c>
      <c r="AB847" s="50"/>
      <c r="AC847" s="50"/>
      <c r="AD847" s="50"/>
      <c r="AE847" s="50"/>
      <c r="AF847" s="50"/>
      <c r="AG847" s="50"/>
      <c r="AH847" s="50"/>
      <c r="AI847" s="50"/>
      <c r="AJ847" s="50"/>
    </row>
    <row r="848" spans="1:36" ht="15" customHeight="1" x14ac:dyDescent="0.25">
      <c r="A848" s="50">
        <v>170</v>
      </c>
      <c r="B848" s="50" t="s">
        <v>926</v>
      </c>
      <c r="C848" s="50" t="s">
        <v>1352</v>
      </c>
      <c r="D848" s="50">
        <v>27</v>
      </c>
      <c r="E848" s="50" t="s">
        <v>1360</v>
      </c>
      <c r="F848" s="50">
        <v>4</v>
      </c>
      <c r="G848" s="50">
        <v>6.7</v>
      </c>
      <c r="H848" s="50">
        <v>44</v>
      </c>
      <c r="I848" s="50">
        <v>3.82</v>
      </c>
      <c r="J848" s="50">
        <v>105</v>
      </c>
      <c r="K848" s="50">
        <v>97</v>
      </c>
      <c r="L848" s="50">
        <v>6.63</v>
      </c>
      <c r="M848" s="50">
        <v>5.72</v>
      </c>
      <c r="N848" s="50">
        <v>52</v>
      </c>
      <c r="O848" s="50">
        <v>13.9</v>
      </c>
      <c r="P848" s="50">
        <v>11.5</v>
      </c>
      <c r="Q848" s="50">
        <v>54.4</v>
      </c>
      <c r="R848" s="50">
        <v>36.1</v>
      </c>
      <c r="S848" s="50">
        <v>14.2</v>
      </c>
      <c r="T848" s="50">
        <v>45</v>
      </c>
      <c r="U848" s="50">
        <v>14.85</v>
      </c>
      <c r="V848" s="50">
        <v>55.6</v>
      </c>
      <c r="W848" s="50">
        <v>48</v>
      </c>
      <c r="X848" s="50">
        <v>362</v>
      </c>
      <c r="Y848" s="50">
        <v>12.32</v>
      </c>
      <c r="Z848" s="50">
        <v>28.4</v>
      </c>
      <c r="AA848" s="50">
        <v>5.16</v>
      </c>
      <c r="AB848" s="50"/>
      <c r="AC848" s="50"/>
      <c r="AD848" s="50"/>
      <c r="AE848" s="50"/>
      <c r="AF848" s="50"/>
      <c r="AG848" s="50"/>
      <c r="AH848" s="50"/>
      <c r="AI848" s="50"/>
      <c r="AJ848" s="50"/>
    </row>
    <row r="849" spans="1:36" ht="15" customHeight="1" x14ac:dyDescent="0.25">
      <c r="A849" s="50">
        <v>170</v>
      </c>
      <c r="B849" s="50" t="s">
        <v>926</v>
      </c>
      <c r="C849" s="50" t="s">
        <v>1352</v>
      </c>
      <c r="D849" s="50">
        <v>27</v>
      </c>
      <c r="E849" s="50" t="s">
        <v>1360</v>
      </c>
      <c r="F849" s="50">
        <v>8</v>
      </c>
      <c r="G849" s="50">
        <v>6.3</v>
      </c>
      <c r="H849" s="50">
        <v>45</v>
      </c>
      <c r="I849" s="50">
        <v>3.65</v>
      </c>
      <c r="J849" s="50">
        <v>107</v>
      </c>
      <c r="K849" s="50">
        <v>94</v>
      </c>
      <c r="L849" s="50">
        <v>6.26</v>
      </c>
      <c r="M849" s="50">
        <v>5.21</v>
      </c>
      <c r="N849" s="50">
        <v>51</v>
      </c>
      <c r="O849" s="50">
        <v>14.4</v>
      </c>
      <c r="P849" s="50">
        <v>10.6</v>
      </c>
      <c r="Q849" s="50">
        <v>55.4</v>
      </c>
      <c r="R849" s="50">
        <v>42.1</v>
      </c>
      <c r="S849" s="50">
        <v>19.8</v>
      </c>
      <c r="T849" s="50">
        <v>49</v>
      </c>
      <c r="U849" s="50">
        <v>14.96</v>
      </c>
      <c r="V849" s="50">
        <v>57</v>
      </c>
      <c r="W849" s="50">
        <v>49</v>
      </c>
      <c r="X849" s="50">
        <v>381</v>
      </c>
      <c r="Y849" s="50">
        <v>11.02</v>
      </c>
      <c r="Z849" s="50">
        <v>29.3</v>
      </c>
      <c r="AA849" s="50">
        <v>5.48</v>
      </c>
      <c r="AB849" s="50"/>
      <c r="AC849" s="50"/>
      <c r="AD849" s="50"/>
      <c r="AE849" s="50"/>
      <c r="AF849" s="50"/>
      <c r="AG849" s="50"/>
      <c r="AH849" s="50"/>
      <c r="AI849" s="50"/>
      <c r="AJ849" s="50"/>
    </row>
    <row r="850" spans="1:36" ht="15" customHeight="1" x14ac:dyDescent="0.25">
      <c r="A850" s="50">
        <v>170</v>
      </c>
      <c r="B850" s="50" t="s">
        <v>926</v>
      </c>
      <c r="C850" s="50" t="s">
        <v>1352</v>
      </c>
      <c r="D850" s="50">
        <v>27</v>
      </c>
      <c r="E850" s="50" t="s">
        <v>1360</v>
      </c>
      <c r="F850" s="50">
        <v>12</v>
      </c>
      <c r="G850" s="50">
        <v>6.2</v>
      </c>
      <c r="H850" s="50">
        <v>42</v>
      </c>
      <c r="I850" s="50">
        <v>3.48</v>
      </c>
      <c r="J850" s="50">
        <v>112</v>
      </c>
      <c r="K850" s="50">
        <v>91</v>
      </c>
      <c r="L850" s="50">
        <v>6.31</v>
      </c>
      <c r="M850" s="50">
        <v>5.36</v>
      </c>
      <c r="N850" s="50">
        <v>51</v>
      </c>
      <c r="O850" s="50">
        <v>12.5</v>
      </c>
      <c r="P850" s="50">
        <v>11.5</v>
      </c>
      <c r="Q850" s="50">
        <v>51.8</v>
      </c>
      <c r="R850" s="50">
        <v>43</v>
      </c>
      <c r="S850" s="50">
        <v>19.5</v>
      </c>
      <c r="T850" s="50">
        <v>49</v>
      </c>
      <c r="U850" s="50">
        <v>13.7</v>
      </c>
      <c r="V850" s="50">
        <v>55.5</v>
      </c>
      <c r="W850" s="50">
        <v>50</v>
      </c>
      <c r="X850" s="50">
        <v>375</v>
      </c>
      <c r="Y850" s="50">
        <v>11.37</v>
      </c>
      <c r="Z850" s="50">
        <v>29.5</v>
      </c>
      <c r="AA850" s="50">
        <v>5.53</v>
      </c>
      <c r="AB850" s="50"/>
      <c r="AC850" s="50"/>
      <c r="AD850" s="50"/>
      <c r="AE850" s="50"/>
      <c r="AF850" s="50"/>
      <c r="AG850" s="50"/>
      <c r="AH850" s="50"/>
      <c r="AI850" s="50"/>
      <c r="AJ850" s="50"/>
    </row>
    <row r="851" spans="1:36" ht="15" customHeight="1" x14ac:dyDescent="0.25">
      <c r="A851" s="50">
        <v>170</v>
      </c>
      <c r="B851" s="50" t="s">
        <v>926</v>
      </c>
      <c r="C851" s="50" t="s">
        <v>1352</v>
      </c>
      <c r="D851" s="50">
        <v>27</v>
      </c>
      <c r="E851" s="50" t="s">
        <v>1360</v>
      </c>
      <c r="F851" s="50">
        <v>21</v>
      </c>
      <c r="G851" s="50">
        <v>5.0999999999999996</v>
      </c>
      <c r="H851" s="50">
        <v>40</v>
      </c>
      <c r="I851" s="50">
        <v>3.29</v>
      </c>
      <c r="J851" s="50">
        <v>114</v>
      </c>
      <c r="K851" s="50">
        <v>85</v>
      </c>
      <c r="L851" s="50">
        <v>5.51</v>
      </c>
      <c r="M851" s="50">
        <v>4.8600000000000003</v>
      </c>
      <c r="N851" s="50">
        <v>45</v>
      </c>
      <c r="O851" s="50">
        <v>12.7</v>
      </c>
      <c r="P851" s="50">
        <v>10.199999999999999</v>
      </c>
      <c r="Q851" s="50">
        <v>47.2</v>
      </c>
      <c r="R851" s="50">
        <v>48</v>
      </c>
      <c r="S851" s="50">
        <v>22.7</v>
      </c>
      <c r="T851" s="50">
        <v>59</v>
      </c>
      <c r="U851" s="50">
        <v>13.1</v>
      </c>
      <c r="V851" s="50">
        <v>60.2</v>
      </c>
      <c r="W851" s="50">
        <v>58</v>
      </c>
      <c r="X851" s="50">
        <v>420</v>
      </c>
      <c r="Y851" s="50">
        <v>10.37</v>
      </c>
      <c r="Z851" s="50">
        <v>30.4</v>
      </c>
      <c r="AA851" s="50">
        <v>5.84</v>
      </c>
      <c r="AB851" s="50"/>
      <c r="AC851" s="50"/>
      <c r="AD851" s="50"/>
      <c r="AE851" s="50"/>
      <c r="AF851" s="50"/>
      <c r="AG851" s="50"/>
      <c r="AH851" s="50"/>
      <c r="AI851" s="50"/>
      <c r="AJ851" s="50"/>
    </row>
    <row r="852" spans="1:36" ht="15" customHeight="1" x14ac:dyDescent="0.25">
      <c r="A852" s="50">
        <v>171</v>
      </c>
      <c r="B852" s="50" t="s">
        <v>926</v>
      </c>
      <c r="C852" s="50" t="s">
        <v>1352</v>
      </c>
      <c r="D852" s="50">
        <v>51</v>
      </c>
      <c r="E852" s="50" t="s">
        <v>1359</v>
      </c>
      <c r="F852" s="50">
        <v>0</v>
      </c>
      <c r="G852" s="50">
        <v>6.3</v>
      </c>
      <c r="H852" s="50">
        <v>36</v>
      </c>
      <c r="I852" s="50">
        <v>4.0599999999999996</v>
      </c>
      <c r="J852" s="50">
        <v>96</v>
      </c>
      <c r="K852" s="50">
        <v>100</v>
      </c>
      <c r="L852" s="50">
        <v>6.99</v>
      </c>
      <c r="M852" s="50">
        <v>7.81</v>
      </c>
      <c r="N852" s="50">
        <v>34</v>
      </c>
      <c r="O852" s="50">
        <v>14.1</v>
      </c>
      <c r="P852" s="50">
        <v>14</v>
      </c>
      <c r="Q852" s="50">
        <v>39.4</v>
      </c>
      <c r="R852" s="50">
        <v>44.4</v>
      </c>
      <c r="S852" s="50">
        <v>12</v>
      </c>
      <c r="T852" s="50">
        <v>33</v>
      </c>
      <c r="U852" s="50">
        <v>14.83</v>
      </c>
      <c r="V852" s="50">
        <v>54</v>
      </c>
      <c r="W852" s="50">
        <v>46</v>
      </c>
      <c r="X852" s="50">
        <v>440</v>
      </c>
      <c r="Y852" s="50">
        <v>11.21</v>
      </c>
      <c r="Z852" s="50">
        <v>26</v>
      </c>
      <c r="AA852" s="50">
        <v>5.88</v>
      </c>
      <c r="AB852" s="50"/>
      <c r="AC852" s="50"/>
      <c r="AD852" s="50"/>
      <c r="AE852" s="50"/>
      <c r="AF852" s="50"/>
      <c r="AG852" s="50"/>
      <c r="AH852" s="50"/>
      <c r="AI852" s="50"/>
      <c r="AJ852" s="50"/>
    </row>
    <row r="853" spans="1:36" ht="15" customHeight="1" x14ac:dyDescent="0.25">
      <c r="A853" s="50">
        <v>171</v>
      </c>
      <c r="B853" s="50" t="s">
        <v>926</v>
      </c>
      <c r="C853" s="50" t="s">
        <v>1352</v>
      </c>
      <c r="D853" s="50">
        <v>51</v>
      </c>
      <c r="E853" s="50" t="s">
        <v>1359</v>
      </c>
      <c r="F853" s="50">
        <v>4</v>
      </c>
      <c r="G853" s="50">
        <v>6.1</v>
      </c>
      <c r="H853" s="50">
        <v>36</v>
      </c>
      <c r="I853" s="50">
        <v>3.96</v>
      </c>
      <c r="J853" s="50">
        <v>103</v>
      </c>
      <c r="K853" s="50">
        <v>97</v>
      </c>
      <c r="L853" s="50">
        <v>6.72</v>
      </c>
      <c r="M853" s="50">
        <v>7.82</v>
      </c>
      <c r="N853" s="50">
        <v>32</v>
      </c>
      <c r="O853" s="50">
        <v>13.5</v>
      </c>
      <c r="P853" s="50">
        <v>14.3</v>
      </c>
      <c r="Q853" s="50">
        <v>38.6</v>
      </c>
      <c r="R853" s="50">
        <v>46.2</v>
      </c>
      <c r="S853" s="50">
        <v>12.7</v>
      </c>
      <c r="T853" s="50">
        <v>36</v>
      </c>
      <c r="U853" s="50">
        <v>14.59</v>
      </c>
      <c r="V853" s="50">
        <v>54.4</v>
      </c>
      <c r="W853" s="50">
        <v>46</v>
      </c>
      <c r="X853" s="50">
        <v>443</v>
      </c>
      <c r="Y853" s="50">
        <v>10.91</v>
      </c>
      <c r="Z853" s="50">
        <v>27.1</v>
      </c>
      <c r="AA853" s="50">
        <v>5.89</v>
      </c>
      <c r="AB853" s="50"/>
      <c r="AC853" s="50"/>
      <c r="AD853" s="50"/>
      <c r="AE853" s="50"/>
      <c r="AF853" s="50"/>
      <c r="AG853" s="50"/>
      <c r="AH853" s="50"/>
      <c r="AI853" s="50"/>
      <c r="AJ853" s="50"/>
    </row>
    <row r="854" spans="1:36" ht="15" customHeight="1" x14ac:dyDescent="0.25">
      <c r="A854" s="50">
        <v>171</v>
      </c>
      <c r="B854" s="50" t="s">
        <v>926</v>
      </c>
      <c r="C854" s="50" t="s">
        <v>1352</v>
      </c>
      <c r="D854" s="50">
        <v>51</v>
      </c>
      <c r="E854" s="50" t="s">
        <v>1359</v>
      </c>
      <c r="F854" s="50">
        <v>8</v>
      </c>
      <c r="G854" s="50">
        <v>5.8</v>
      </c>
      <c r="H854" s="50">
        <v>34</v>
      </c>
      <c r="I854" s="50">
        <v>3.72</v>
      </c>
      <c r="J854" s="50">
        <v>97</v>
      </c>
      <c r="K854" s="50">
        <v>94</v>
      </c>
      <c r="L854" s="50">
        <v>6.46</v>
      </c>
      <c r="M854" s="50">
        <v>7.46</v>
      </c>
      <c r="N854" s="50">
        <v>31</v>
      </c>
      <c r="O854" s="50">
        <v>14.1</v>
      </c>
      <c r="P854" s="50">
        <v>13.9</v>
      </c>
      <c r="Q854" s="50">
        <v>38.4</v>
      </c>
      <c r="R854" s="50">
        <v>49.3</v>
      </c>
      <c r="S854" s="50">
        <v>13.8</v>
      </c>
      <c r="T854" s="50">
        <v>35</v>
      </c>
      <c r="U854" s="50">
        <v>14.79</v>
      </c>
      <c r="V854" s="50">
        <v>56.4</v>
      </c>
      <c r="W854" s="50">
        <v>47</v>
      </c>
      <c r="X854" s="50">
        <v>451</v>
      </c>
      <c r="Y854" s="50">
        <v>10.33</v>
      </c>
      <c r="Z854" s="50">
        <v>27.7</v>
      </c>
      <c r="AA854" s="50">
        <v>5.96</v>
      </c>
      <c r="AB854" s="50"/>
      <c r="AC854" s="50"/>
      <c r="AD854" s="50"/>
      <c r="AE854" s="50"/>
      <c r="AF854" s="50"/>
      <c r="AG854" s="50"/>
      <c r="AH854" s="50"/>
      <c r="AI854" s="50"/>
      <c r="AJ854" s="50"/>
    </row>
    <row r="855" spans="1:36" ht="15" customHeight="1" x14ac:dyDescent="0.25">
      <c r="A855" s="50">
        <v>171</v>
      </c>
      <c r="B855" s="50" t="s">
        <v>926</v>
      </c>
      <c r="C855" s="50" t="s">
        <v>1352</v>
      </c>
      <c r="D855" s="50">
        <v>51</v>
      </c>
      <c r="E855" s="50" t="s">
        <v>1359</v>
      </c>
      <c r="F855" s="50">
        <v>12</v>
      </c>
      <c r="G855" s="50">
        <v>5.6</v>
      </c>
      <c r="H855" s="50">
        <v>35</v>
      </c>
      <c r="I855" s="50">
        <v>3.64</v>
      </c>
      <c r="J855" s="50">
        <v>107</v>
      </c>
      <c r="K855" s="50">
        <v>91</v>
      </c>
      <c r="L855" s="50">
        <v>6.31</v>
      </c>
      <c r="M855" s="50">
        <v>7.49</v>
      </c>
      <c r="N855" s="50">
        <v>32</v>
      </c>
      <c r="O855" s="50">
        <v>13.2</v>
      </c>
      <c r="P855" s="50">
        <v>13.3</v>
      </c>
      <c r="Q855" s="50">
        <v>35.799999999999997</v>
      </c>
      <c r="R855" s="50">
        <v>46.4</v>
      </c>
      <c r="S855" s="50">
        <v>15.1</v>
      </c>
      <c r="T855" s="50">
        <v>35</v>
      </c>
      <c r="U855" s="50">
        <v>14.96</v>
      </c>
      <c r="V855" s="50">
        <v>56</v>
      </c>
      <c r="W855" s="50">
        <v>49</v>
      </c>
      <c r="X855" s="50">
        <v>465</v>
      </c>
      <c r="Y855" s="50">
        <v>10.16</v>
      </c>
      <c r="Z855" s="50">
        <v>27.7</v>
      </c>
      <c r="AA855" s="50">
        <v>6.03</v>
      </c>
      <c r="AB855" s="50"/>
      <c r="AC855" s="50"/>
      <c r="AD855" s="50"/>
      <c r="AE855" s="50"/>
      <c r="AF855" s="50"/>
      <c r="AG855" s="50"/>
      <c r="AH855" s="50"/>
      <c r="AI855" s="50"/>
      <c r="AJ855" s="50"/>
    </row>
    <row r="856" spans="1:36" ht="15" customHeight="1" x14ac:dyDescent="0.25">
      <c r="A856" s="50">
        <v>171</v>
      </c>
      <c r="B856" s="50" t="s">
        <v>926</v>
      </c>
      <c r="C856" s="50" t="s">
        <v>1352</v>
      </c>
      <c r="D856" s="50">
        <v>51</v>
      </c>
      <c r="E856" s="50" t="s">
        <v>1359</v>
      </c>
      <c r="F856" s="50">
        <v>21</v>
      </c>
      <c r="G856" s="50">
        <v>4.8</v>
      </c>
      <c r="H856" s="50">
        <v>32</v>
      </c>
      <c r="I856" s="50">
        <v>3.55</v>
      </c>
      <c r="J856" s="50">
        <v>109</v>
      </c>
      <c r="K856" s="50">
        <v>85</v>
      </c>
      <c r="L856" s="50">
        <v>5.26</v>
      </c>
      <c r="M856" s="50">
        <v>6.25</v>
      </c>
      <c r="N856" s="50">
        <v>31</v>
      </c>
      <c r="O856" s="50">
        <v>12.3</v>
      </c>
      <c r="P856" s="50">
        <v>13</v>
      </c>
      <c r="Q856" s="50">
        <v>32.299999999999997</v>
      </c>
      <c r="R856" s="50">
        <v>53.4</v>
      </c>
      <c r="S856" s="50">
        <v>21</v>
      </c>
      <c r="T856" s="50">
        <v>43</v>
      </c>
      <c r="U856" s="50">
        <v>12.8</v>
      </c>
      <c r="V856" s="50">
        <v>59.1</v>
      </c>
      <c r="W856" s="50">
        <v>52</v>
      </c>
      <c r="X856" s="50">
        <v>467</v>
      </c>
      <c r="Y856" s="50">
        <v>9.83</v>
      </c>
      <c r="Z856" s="50">
        <v>32.1</v>
      </c>
      <c r="AA856" s="50">
        <v>5.97</v>
      </c>
      <c r="AB856" s="50"/>
      <c r="AC856" s="50"/>
      <c r="AD856" s="50"/>
      <c r="AE856" s="50"/>
      <c r="AF856" s="50"/>
      <c r="AG856" s="50"/>
      <c r="AH856" s="50"/>
      <c r="AI856" s="50"/>
      <c r="AJ856" s="50"/>
    </row>
    <row r="857" spans="1:36" ht="15" customHeight="1" x14ac:dyDescent="0.25">
      <c r="A857" s="50">
        <v>172</v>
      </c>
      <c r="B857" s="50" t="s">
        <v>926</v>
      </c>
      <c r="C857" s="50" t="s">
        <v>1357</v>
      </c>
      <c r="D857" s="50">
        <v>46</v>
      </c>
      <c r="E857" s="50" t="s">
        <v>1355</v>
      </c>
      <c r="F857" s="50">
        <v>0</v>
      </c>
      <c r="G857" s="50">
        <v>6.9</v>
      </c>
      <c r="H857" s="50">
        <v>42</v>
      </c>
      <c r="I857" s="50">
        <v>4.01</v>
      </c>
      <c r="J857" s="50">
        <v>99</v>
      </c>
      <c r="K857" s="50">
        <v>100</v>
      </c>
      <c r="L857" s="50">
        <v>6.49</v>
      </c>
      <c r="M857" s="50">
        <v>6.07</v>
      </c>
      <c r="N857" s="50">
        <v>53</v>
      </c>
      <c r="O857" s="50">
        <v>10.7</v>
      </c>
      <c r="P857" s="50">
        <v>12.8</v>
      </c>
      <c r="Q857" s="50">
        <v>38.799999999999997</v>
      </c>
      <c r="R857" s="50">
        <v>34.5</v>
      </c>
      <c r="S857" s="50">
        <v>15.8</v>
      </c>
      <c r="T857" s="50">
        <v>19</v>
      </c>
      <c r="U857" s="50">
        <v>7.96</v>
      </c>
      <c r="V857" s="50">
        <v>54.4</v>
      </c>
      <c r="W857" s="50">
        <v>37</v>
      </c>
      <c r="X857" s="50">
        <v>358</v>
      </c>
      <c r="Y857" s="50">
        <v>16.72</v>
      </c>
      <c r="Z857" s="50">
        <v>19.399999999999999</v>
      </c>
      <c r="AA857" s="50">
        <v>5.6</v>
      </c>
      <c r="AB857" s="50"/>
      <c r="AC857" s="50"/>
      <c r="AD857" s="50"/>
      <c r="AE857" s="50"/>
      <c r="AF857" s="50"/>
      <c r="AG857" s="50"/>
      <c r="AH857" s="50"/>
      <c r="AI857" s="50"/>
      <c r="AJ857" s="50"/>
    </row>
    <row r="858" spans="1:36" ht="15" customHeight="1" x14ac:dyDescent="0.25">
      <c r="A858" s="50">
        <v>172</v>
      </c>
      <c r="B858" s="50" t="s">
        <v>926</v>
      </c>
      <c r="C858" s="50" t="s">
        <v>1357</v>
      </c>
      <c r="D858" s="50">
        <v>46</v>
      </c>
      <c r="E858" s="50" t="s">
        <v>1355</v>
      </c>
      <c r="F858" s="50">
        <v>4</v>
      </c>
      <c r="G858" s="50">
        <v>6.1</v>
      </c>
      <c r="H858" s="50">
        <v>42</v>
      </c>
      <c r="I858" s="50">
        <v>4.01</v>
      </c>
      <c r="J858" s="50">
        <v>108</v>
      </c>
      <c r="K858" s="50">
        <v>97</v>
      </c>
      <c r="L858" s="50">
        <v>5.56</v>
      </c>
      <c r="M858" s="50">
        <v>5.39</v>
      </c>
      <c r="N858" s="50">
        <v>47</v>
      </c>
      <c r="O858" s="50">
        <v>9.8000000000000007</v>
      </c>
      <c r="P858" s="50">
        <v>11.8</v>
      </c>
      <c r="Q858" s="50">
        <v>36.799999999999997</v>
      </c>
      <c r="R858" s="50">
        <v>37.799999999999997</v>
      </c>
      <c r="S858" s="50">
        <v>19.7</v>
      </c>
      <c r="T858" s="50">
        <v>30</v>
      </c>
      <c r="U858" s="50">
        <v>7.81</v>
      </c>
      <c r="V858" s="50">
        <v>55.7</v>
      </c>
      <c r="W858" s="50">
        <v>45</v>
      </c>
      <c r="X858" s="50">
        <v>364</v>
      </c>
      <c r="Y858" s="50">
        <v>15.64</v>
      </c>
      <c r="Z858" s="50">
        <v>24.7</v>
      </c>
      <c r="AA858" s="50">
        <v>5.67</v>
      </c>
      <c r="AB858" s="50"/>
      <c r="AC858" s="50"/>
      <c r="AD858" s="50"/>
      <c r="AE858" s="50"/>
      <c r="AF858" s="50"/>
      <c r="AG858" s="50"/>
      <c r="AH858" s="50"/>
      <c r="AI858" s="50"/>
      <c r="AJ858" s="50"/>
    </row>
    <row r="859" spans="1:36" ht="15" customHeight="1" x14ac:dyDescent="0.25">
      <c r="A859" s="50">
        <v>172</v>
      </c>
      <c r="B859" s="50" t="s">
        <v>926</v>
      </c>
      <c r="C859" s="50" t="s">
        <v>1357</v>
      </c>
      <c r="D859" s="50">
        <v>46</v>
      </c>
      <c r="E859" s="50" t="s">
        <v>1355</v>
      </c>
      <c r="F859" s="50">
        <v>8</v>
      </c>
      <c r="G859" s="50">
        <v>6.2</v>
      </c>
      <c r="H859" s="50">
        <v>41</v>
      </c>
      <c r="I859" s="50">
        <v>3.81</v>
      </c>
      <c r="J859" s="50">
        <v>103</v>
      </c>
      <c r="K859" s="50">
        <v>94</v>
      </c>
      <c r="L859" s="50">
        <v>5.72</v>
      </c>
      <c r="M859" s="50">
        <v>5.53</v>
      </c>
      <c r="N859" s="50">
        <v>46</v>
      </c>
      <c r="O859" s="50">
        <v>10.6</v>
      </c>
      <c r="P859" s="50">
        <v>11.8</v>
      </c>
      <c r="Q859" s="50">
        <v>35.9</v>
      </c>
      <c r="R859" s="50">
        <v>38.6</v>
      </c>
      <c r="S859" s="50">
        <v>17.600000000000001</v>
      </c>
      <c r="T859" s="50">
        <v>24</v>
      </c>
      <c r="U859" s="50">
        <v>7.83</v>
      </c>
      <c r="V859" s="50">
        <v>55.5</v>
      </c>
      <c r="W859" s="50">
        <v>41</v>
      </c>
      <c r="X859" s="50">
        <v>367</v>
      </c>
      <c r="Y859" s="50">
        <v>15.29</v>
      </c>
      <c r="Z859" s="50">
        <v>22.2</v>
      </c>
      <c r="AA859" s="50">
        <v>5.67</v>
      </c>
      <c r="AB859" s="50"/>
      <c r="AC859" s="50"/>
      <c r="AD859" s="50"/>
      <c r="AE859" s="50"/>
      <c r="AF859" s="50"/>
      <c r="AG859" s="50"/>
      <c r="AH859" s="50"/>
      <c r="AI859" s="50"/>
      <c r="AJ859" s="50"/>
    </row>
    <row r="860" spans="1:36" ht="15" customHeight="1" x14ac:dyDescent="0.25">
      <c r="A860" s="50">
        <v>172</v>
      </c>
      <c r="B860" s="50" t="s">
        <v>926</v>
      </c>
      <c r="C860" s="50" t="s">
        <v>1357</v>
      </c>
      <c r="D860" s="50">
        <v>46</v>
      </c>
      <c r="E860" s="50" t="s">
        <v>1355</v>
      </c>
      <c r="F860" s="50">
        <v>12</v>
      </c>
      <c r="G860" s="50">
        <v>5.8</v>
      </c>
      <c r="H860" s="50">
        <v>40</v>
      </c>
      <c r="I860" s="50">
        <v>3.73</v>
      </c>
      <c r="J860" s="50">
        <v>108</v>
      </c>
      <c r="K860" s="50">
        <v>91</v>
      </c>
      <c r="L860" s="50">
        <v>5.17</v>
      </c>
      <c r="M860" s="50">
        <v>5.46</v>
      </c>
      <c r="N860" s="50">
        <v>45</v>
      </c>
      <c r="O860" s="50">
        <v>10.4</v>
      </c>
      <c r="P860" s="50">
        <v>11.6</v>
      </c>
      <c r="Q860" s="50">
        <v>36.6</v>
      </c>
      <c r="R860" s="50">
        <v>40.799999999999997</v>
      </c>
      <c r="S860" s="50">
        <v>21.6</v>
      </c>
      <c r="T860" s="50">
        <v>30</v>
      </c>
      <c r="U860" s="50">
        <v>7.54</v>
      </c>
      <c r="V860" s="50">
        <v>57.3</v>
      </c>
      <c r="W860" s="50">
        <v>42</v>
      </c>
      <c r="X860" s="50">
        <v>366</v>
      </c>
      <c r="Y860" s="50">
        <v>14.86</v>
      </c>
      <c r="Z860" s="50">
        <v>26.1</v>
      </c>
      <c r="AA860" s="50">
        <v>5.76</v>
      </c>
      <c r="AB860" s="50"/>
      <c r="AC860" s="50"/>
      <c r="AD860" s="50"/>
      <c r="AE860" s="50"/>
      <c r="AF860" s="50"/>
      <c r="AG860" s="50"/>
      <c r="AH860" s="50"/>
      <c r="AI860" s="50"/>
      <c r="AJ860" s="50"/>
    </row>
    <row r="861" spans="1:36" ht="15" customHeight="1" x14ac:dyDescent="0.25">
      <c r="A861" s="50">
        <v>172</v>
      </c>
      <c r="B861" s="50" t="s">
        <v>926</v>
      </c>
      <c r="C861" s="50" t="s">
        <v>1357</v>
      </c>
      <c r="D861" s="50">
        <v>46</v>
      </c>
      <c r="E861" s="50" t="s">
        <v>1355</v>
      </c>
      <c r="F861" s="50">
        <v>21</v>
      </c>
      <c r="G861" s="50">
        <v>5</v>
      </c>
      <c r="H861" s="50">
        <v>38</v>
      </c>
      <c r="I861" s="50">
        <v>3.52</v>
      </c>
      <c r="J861" s="50">
        <v>113</v>
      </c>
      <c r="K861" s="50">
        <v>85</v>
      </c>
      <c r="L861" s="50">
        <v>4.7300000000000004</v>
      </c>
      <c r="M861" s="50">
        <v>5.23</v>
      </c>
      <c r="N861" s="50">
        <v>38</v>
      </c>
      <c r="O861" s="50">
        <v>10.9</v>
      </c>
      <c r="P861" s="50">
        <v>9.6</v>
      </c>
      <c r="Q861" s="50">
        <v>35</v>
      </c>
      <c r="R861" s="50">
        <v>45.4</v>
      </c>
      <c r="S861" s="50">
        <v>25.5</v>
      </c>
      <c r="T861" s="50">
        <v>35</v>
      </c>
      <c r="U861" s="50">
        <v>7.07</v>
      </c>
      <c r="V861" s="50">
        <v>61.8</v>
      </c>
      <c r="W861" s="50">
        <v>53</v>
      </c>
      <c r="X861" s="50">
        <v>367</v>
      </c>
      <c r="Y861" s="50">
        <v>13.71</v>
      </c>
      <c r="Z861" s="50">
        <v>28</v>
      </c>
      <c r="AA861" s="50">
        <v>5.93</v>
      </c>
      <c r="AB861" s="50"/>
      <c r="AC861" s="50"/>
      <c r="AD861" s="50"/>
      <c r="AE861" s="50"/>
      <c r="AF861" s="50"/>
      <c r="AG861" s="50"/>
      <c r="AH861" s="50"/>
      <c r="AI861" s="50"/>
      <c r="AJ861" s="50"/>
    </row>
    <row r="862" spans="1:36" ht="15" customHeight="1" x14ac:dyDescent="0.25">
      <c r="A862" s="50">
        <v>173</v>
      </c>
      <c r="B862" s="50" t="s">
        <v>926</v>
      </c>
      <c r="C862" s="50" t="s">
        <v>1357</v>
      </c>
      <c r="D862" s="50">
        <v>44</v>
      </c>
      <c r="E862" s="50" t="s">
        <v>1360</v>
      </c>
      <c r="F862" s="50">
        <v>0</v>
      </c>
      <c r="G862" s="50">
        <v>7.2</v>
      </c>
      <c r="H862" s="50">
        <v>43</v>
      </c>
      <c r="I862" s="50">
        <v>3.41</v>
      </c>
      <c r="J862" s="50">
        <v>106</v>
      </c>
      <c r="K862" s="50">
        <v>100</v>
      </c>
      <c r="L862" s="50">
        <v>6.88</v>
      </c>
      <c r="M862" s="50">
        <v>7.61</v>
      </c>
      <c r="N862" s="50">
        <v>51</v>
      </c>
      <c r="O862" s="50">
        <v>15.6</v>
      </c>
      <c r="P862" s="50">
        <v>10.9</v>
      </c>
      <c r="Q862" s="50">
        <v>58.2</v>
      </c>
      <c r="R862" s="50">
        <v>31.6</v>
      </c>
      <c r="S862" s="50">
        <v>16.3</v>
      </c>
      <c r="T862" s="50">
        <v>41</v>
      </c>
      <c r="U862" s="50">
        <v>10.86</v>
      </c>
      <c r="V862" s="50">
        <v>57.1</v>
      </c>
      <c r="W862" s="50">
        <v>51</v>
      </c>
      <c r="X862" s="50">
        <v>376</v>
      </c>
      <c r="Y862" s="50">
        <v>14.33</v>
      </c>
      <c r="Z862" s="50">
        <v>30.7</v>
      </c>
      <c r="AA862" s="50">
        <v>3.71</v>
      </c>
      <c r="AB862" s="50"/>
      <c r="AC862" s="50"/>
      <c r="AD862" s="50"/>
      <c r="AE862" s="50"/>
      <c r="AF862" s="50"/>
      <c r="AG862" s="50"/>
      <c r="AH862" s="50"/>
      <c r="AI862" s="50"/>
      <c r="AJ862" s="50"/>
    </row>
    <row r="863" spans="1:36" ht="15" customHeight="1" x14ac:dyDescent="0.25">
      <c r="A863" s="50">
        <v>173</v>
      </c>
      <c r="B863" s="50" t="s">
        <v>926</v>
      </c>
      <c r="C863" s="50" t="s">
        <v>1357</v>
      </c>
      <c r="D863" s="50">
        <v>44</v>
      </c>
      <c r="E863" s="50" t="s">
        <v>1360</v>
      </c>
      <c r="F863" s="50">
        <v>4</v>
      </c>
      <c r="G863" s="50">
        <v>6.7</v>
      </c>
      <c r="H863" s="50">
        <v>42</v>
      </c>
      <c r="I863" s="50">
        <v>3.33</v>
      </c>
      <c r="J863" s="50">
        <v>109</v>
      </c>
      <c r="K863" s="50">
        <v>97</v>
      </c>
      <c r="L863" s="50">
        <v>6.48</v>
      </c>
      <c r="M863" s="50">
        <v>6.73</v>
      </c>
      <c r="N863" s="50">
        <v>46</v>
      </c>
      <c r="O863" s="50">
        <v>15.1</v>
      </c>
      <c r="P863" s="50">
        <v>10.9</v>
      </c>
      <c r="Q863" s="50">
        <v>55.7</v>
      </c>
      <c r="R863" s="50">
        <v>36.4</v>
      </c>
      <c r="S863" s="50">
        <v>21.2</v>
      </c>
      <c r="T863" s="50">
        <v>41</v>
      </c>
      <c r="U863" s="50">
        <v>9.6300000000000008</v>
      </c>
      <c r="V863" s="50">
        <v>57.1</v>
      </c>
      <c r="W863" s="50">
        <v>52</v>
      </c>
      <c r="X863" s="50">
        <v>380</v>
      </c>
      <c r="Y863" s="50">
        <v>13.63</v>
      </c>
      <c r="Z863" s="50">
        <v>31.7</v>
      </c>
      <c r="AA863" s="50">
        <v>3.72</v>
      </c>
      <c r="AB863" s="50"/>
      <c r="AC863" s="50"/>
      <c r="AD863" s="50"/>
      <c r="AE863" s="50"/>
      <c r="AF863" s="50"/>
      <c r="AG863" s="50"/>
      <c r="AH863" s="50"/>
      <c r="AI863" s="50"/>
      <c r="AJ863" s="50"/>
    </row>
    <row r="864" spans="1:36" ht="15" customHeight="1" x14ac:dyDescent="0.25">
      <c r="A864" s="50">
        <v>173</v>
      </c>
      <c r="B864" s="50" t="s">
        <v>926</v>
      </c>
      <c r="C864" s="50" t="s">
        <v>1357</v>
      </c>
      <c r="D864" s="50">
        <v>44</v>
      </c>
      <c r="E864" s="50" t="s">
        <v>1360</v>
      </c>
      <c r="F864" s="50">
        <v>8</v>
      </c>
      <c r="G864" s="50">
        <v>6.4</v>
      </c>
      <c r="H864" s="50">
        <v>38</v>
      </c>
      <c r="I864" s="50">
        <v>3.32</v>
      </c>
      <c r="J864" s="50">
        <v>110</v>
      </c>
      <c r="K864" s="50">
        <v>94</v>
      </c>
      <c r="L864" s="50">
        <v>6.14</v>
      </c>
      <c r="M864" s="50">
        <v>6.55</v>
      </c>
      <c r="N864" s="50">
        <v>46</v>
      </c>
      <c r="O864" s="50">
        <v>14.3</v>
      </c>
      <c r="P864" s="50">
        <v>10.6</v>
      </c>
      <c r="Q864" s="50">
        <v>52.4</v>
      </c>
      <c r="R864" s="50">
        <v>36.200000000000003</v>
      </c>
      <c r="S864" s="50">
        <v>21.2</v>
      </c>
      <c r="T864" s="50">
        <v>47</v>
      </c>
      <c r="U864" s="50">
        <v>9.7100000000000009</v>
      </c>
      <c r="V864" s="50">
        <v>58.5</v>
      </c>
      <c r="W864" s="50">
        <v>54</v>
      </c>
      <c r="X864" s="50">
        <v>393</v>
      </c>
      <c r="Y864" s="50">
        <v>13.27</v>
      </c>
      <c r="Z864" s="50">
        <v>33.299999999999997</v>
      </c>
      <c r="AA864" s="50">
        <v>4.16</v>
      </c>
      <c r="AB864" s="50"/>
      <c r="AC864" s="50"/>
      <c r="AD864" s="50"/>
      <c r="AE864" s="50"/>
      <c r="AF864" s="50"/>
      <c r="AG864" s="50"/>
      <c r="AH864" s="50"/>
      <c r="AI864" s="50"/>
      <c r="AJ864" s="50"/>
    </row>
    <row r="865" spans="1:36" ht="15" customHeight="1" x14ac:dyDescent="0.25">
      <c r="A865" s="50">
        <v>173</v>
      </c>
      <c r="B865" s="50" t="s">
        <v>926</v>
      </c>
      <c r="C865" s="50" t="s">
        <v>1357</v>
      </c>
      <c r="D865" s="50">
        <v>44</v>
      </c>
      <c r="E865" s="50" t="s">
        <v>1360</v>
      </c>
      <c r="F865" s="50">
        <v>12</v>
      </c>
      <c r="G865" s="50">
        <v>6.2</v>
      </c>
      <c r="H865" s="50">
        <v>37</v>
      </c>
      <c r="I865" s="50">
        <v>3.16</v>
      </c>
      <c r="J865" s="50">
        <v>111</v>
      </c>
      <c r="K865" s="50">
        <v>91</v>
      </c>
      <c r="L865" s="50">
        <v>5.89</v>
      </c>
      <c r="M865" s="50">
        <v>6.1</v>
      </c>
      <c r="N865" s="50">
        <v>43</v>
      </c>
      <c r="O865" s="50">
        <v>13.9</v>
      </c>
      <c r="P865" s="50">
        <v>10.5</v>
      </c>
      <c r="Q865" s="50">
        <v>50.2</v>
      </c>
      <c r="R865" s="50">
        <v>38.700000000000003</v>
      </c>
      <c r="S865" s="50">
        <v>21.1</v>
      </c>
      <c r="T865" s="50">
        <v>43</v>
      </c>
      <c r="U865" s="50">
        <v>8.26</v>
      </c>
      <c r="V865" s="50">
        <v>59</v>
      </c>
      <c r="W865" s="50">
        <v>58</v>
      </c>
      <c r="X865" s="50">
        <v>393</v>
      </c>
      <c r="Y865" s="50">
        <v>13.51</v>
      </c>
      <c r="Z865" s="50">
        <v>33</v>
      </c>
      <c r="AA865" s="50">
        <v>4.21</v>
      </c>
      <c r="AB865" s="50"/>
      <c r="AC865" s="50"/>
      <c r="AD865" s="50"/>
      <c r="AE865" s="50"/>
      <c r="AF865" s="50"/>
      <c r="AG865" s="50"/>
      <c r="AH865" s="50"/>
      <c r="AI865" s="50"/>
      <c r="AJ865" s="50"/>
    </row>
    <row r="866" spans="1:36" ht="15" customHeight="1" x14ac:dyDescent="0.25">
      <c r="A866" s="50">
        <v>173</v>
      </c>
      <c r="B866" s="50" t="s">
        <v>926</v>
      </c>
      <c r="C866" s="50" t="s">
        <v>1357</v>
      </c>
      <c r="D866" s="50">
        <v>44</v>
      </c>
      <c r="E866" s="50" t="s">
        <v>1360</v>
      </c>
      <c r="F866" s="50">
        <v>21</v>
      </c>
      <c r="G866" s="50">
        <v>5.3</v>
      </c>
      <c r="H866" s="50">
        <v>36</v>
      </c>
      <c r="I866" s="50">
        <v>2.98</v>
      </c>
      <c r="J866" s="50">
        <v>120</v>
      </c>
      <c r="K866" s="50">
        <v>85</v>
      </c>
      <c r="L866" s="50">
        <v>5.09</v>
      </c>
      <c r="M866" s="50">
        <v>5.08</v>
      </c>
      <c r="N866" s="50">
        <v>41</v>
      </c>
      <c r="O866" s="50">
        <v>13.3</v>
      </c>
      <c r="P866" s="50">
        <v>9.9</v>
      </c>
      <c r="Q866" s="50">
        <v>46.2</v>
      </c>
      <c r="R866" s="50">
        <v>43.7</v>
      </c>
      <c r="S866" s="50">
        <v>24.3</v>
      </c>
      <c r="T866" s="50">
        <v>51</v>
      </c>
      <c r="U866" s="50">
        <v>8.56</v>
      </c>
      <c r="V866" s="50">
        <v>61.1</v>
      </c>
      <c r="W866" s="50">
        <v>61</v>
      </c>
      <c r="X866" s="50">
        <v>427</v>
      </c>
      <c r="Y866" s="50">
        <v>12.94</v>
      </c>
      <c r="Z866" s="50">
        <v>35.200000000000003</v>
      </c>
      <c r="AA866" s="50">
        <v>4.6500000000000004</v>
      </c>
      <c r="AB866" s="50"/>
      <c r="AC866" s="50"/>
      <c r="AD866" s="50"/>
      <c r="AE866" s="50"/>
      <c r="AF866" s="50"/>
      <c r="AG866" s="50"/>
      <c r="AH866" s="50"/>
      <c r="AI866" s="50"/>
      <c r="AJ866" s="50"/>
    </row>
    <row r="867" spans="1:36" ht="15" customHeight="1" x14ac:dyDescent="0.25">
      <c r="A867" s="50">
        <v>174</v>
      </c>
      <c r="B867" s="50" t="s">
        <v>926</v>
      </c>
      <c r="C867" s="50" t="s">
        <v>1352</v>
      </c>
      <c r="D867" s="50">
        <v>43</v>
      </c>
      <c r="E867" s="50" t="s">
        <v>1359</v>
      </c>
      <c r="F867" s="50">
        <v>0</v>
      </c>
      <c r="G867" s="50">
        <v>6.6</v>
      </c>
      <c r="H867" s="50">
        <v>41</v>
      </c>
      <c r="I867" s="50">
        <v>3.15</v>
      </c>
      <c r="J867" s="50">
        <v>96</v>
      </c>
      <c r="K867" s="50">
        <v>100</v>
      </c>
      <c r="L867" s="50">
        <v>5.49</v>
      </c>
      <c r="M867" s="50">
        <v>5.0599999999999996</v>
      </c>
      <c r="N867" s="50">
        <v>41</v>
      </c>
      <c r="O867" s="50">
        <v>13.1</v>
      </c>
      <c r="P867" s="50">
        <v>14.7</v>
      </c>
      <c r="Q867" s="50">
        <v>41.7</v>
      </c>
      <c r="R867" s="50">
        <v>42.6</v>
      </c>
      <c r="S867" s="50">
        <v>28.7</v>
      </c>
      <c r="T867" s="50">
        <v>28</v>
      </c>
      <c r="U867" s="50">
        <v>9.35</v>
      </c>
      <c r="V867" s="50">
        <v>65.3</v>
      </c>
      <c r="W867" s="50">
        <v>38</v>
      </c>
      <c r="X867" s="50">
        <v>319</v>
      </c>
      <c r="Y867" s="50">
        <v>18.03</v>
      </c>
      <c r="Z867" s="50">
        <v>26</v>
      </c>
      <c r="AA867" s="50">
        <v>4.57</v>
      </c>
      <c r="AB867" s="50"/>
      <c r="AC867" s="50"/>
      <c r="AD867" s="50"/>
      <c r="AE867" s="50"/>
      <c r="AF867" s="50"/>
      <c r="AG867" s="50"/>
      <c r="AH867" s="50"/>
      <c r="AI867" s="50"/>
      <c r="AJ867" s="50"/>
    </row>
    <row r="868" spans="1:36" ht="15" customHeight="1" x14ac:dyDescent="0.25">
      <c r="A868" s="50">
        <v>174</v>
      </c>
      <c r="B868" s="50" t="s">
        <v>926</v>
      </c>
      <c r="C868" s="50" t="s">
        <v>1352</v>
      </c>
      <c r="D868" s="50">
        <v>43</v>
      </c>
      <c r="E868" s="50" t="s">
        <v>1359</v>
      </c>
      <c r="F868" s="50">
        <v>4</v>
      </c>
      <c r="G868" s="50">
        <v>6.3</v>
      </c>
      <c r="H868" s="50">
        <v>39</v>
      </c>
      <c r="I868" s="50">
        <v>3.22</v>
      </c>
      <c r="J868" s="50">
        <v>98</v>
      </c>
      <c r="K868" s="50">
        <v>97</v>
      </c>
      <c r="L868" s="50">
        <v>5.36</v>
      </c>
      <c r="M868" s="50">
        <v>5.04</v>
      </c>
      <c r="N868" s="50">
        <v>42</v>
      </c>
      <c r="O868" s="50">
        <v>12.2</v>
      </c>
      <c r="P868" s="50">
        <v>14.2</v>
      </c>
      <c r="Q868" s="50">
        <v>40.9</v>
      </c>
      <c r="R868" s="50">
        <v>44.6</v>
      </c>
      <c r="S868" s="50">
        <v>28.7</v>
      </c>
      <c r="T868" s="50">
        <v>29</v>
      </c>
      <c r="U868" s="50">
        <v>8.82</v>
      </c>
      <c r="V868" s="50">
        <v>66.599999999999994</v>
      </c>
      <c r="W868" s="50">
        <v>45</v>
      </c>
      <c r="X868" s="50">
        <v>335</v>
      </c>
      <c r="Y868" s="50">
        <v>17.84</v>
      </c>
      <c r="Z868" s="50">
        <v>25.9</v>
      </c>
      <c r="AA868" s="50">
        <v>4.8600000000000003</v>
      </c>
      <c r="AB868" s="50"/>
      <c r="AC868" s="50"/>
      <c r="AD868" s="50"/>
      <c r="AE868" s="50"/>
      <c r="AF868" s="50"/>
      <c r="AG868" s="50"/>
      <c r="AH868" s="50"/>
      <c r="AI868" s="50"/>
      <c r="AJ868" s="50"/>
    </row>
    <row r="869" spans="1:36" ht="15" customHeight="1" x14ac:dyDescent="0.25">
      <c r="A869" s="50">
        <v>174</v>
      </c>
      <c r="B869" s="50" t="s">
        <v>926</v>
      </c>
      <c r="C869" s="50" t="s">
        <v>1352</v>
      </c>
      <c r="D869" s="50">
        <v>43</v>
      </c>
      <c r="E869" s="50" t="s">
        <v>1359</v>
      </c>
      <c r="F869" s="50">
        <v>8</v>
      </c>
      <c r="G869" s="50">
        <v>5.9</v>
      </c>
      <c r="H869" s="50">
        <v>41</v>
      </c>
      <c r="I869" s="50">
        <v>3.08</v>
      </c>
      <c r="J869" s="50">
        <v>99</v>
      </c>
      <c r="K869" s="50">
        <v>94</v>
      </c>
      <c r="L869" s="50">
        <v>5.15</v>
      </c>
      <c r="M869" s="50">
        <v>4.8099999999999996</v>
      </c>
      <c r="N869" s="50">
        <v>42</v>
      </c>
      <c r="O869" s="50">
        <v>12.2</v>
      </c>
      <c r="P869" s="50">
        <v>13.3</v>
      </c>
      <c r="Q869" s="50">
        <v>37.700000000000003</v>
      </c>
      <c r="R869" s="50">
        <v>45.9</v>
      </c>
      <c r="S869" s="50">
        <v>28.8</v>
      </c>
      <c r="T869" s="50">
        <v>34</v>
      </c>
      <c r="U869" s="50">
        <v>7.97</v>
      </c>
      <c r="V869" s="50">
        <v>65.400000000000006</v>
      </c>
      <c r="W869" s="50">
        <v>46</v>
      </c>
      <c r="X869" s="50">
        <v>343</v>
      </c>
      <c r="Y869" s="50">
        <v>16.38</v>
      </c>
      <c r="Z869" s="50">
        <v>28</v>
      </c>
      <c r="AA869" s="50">
        <v>4.87</v>
      </c>
      <c r="AB869" s="50"/>
      <c r="AC869" s="50"/>
      <c r="AD869" s="50"/>
      <c r="AE869" s="50"/>
      <c r="AF869" s="50"/>
      <c r="AG869" s="50"/>
      <c r="AH869" s="50"/>
      <c r="AI869" s="50"/>
      <c r="AJ869" s="50"/>
    </row>
    <row r="870" spans="1:36" ht="15" customHeight="1" x14ac:dyDescent="0.25">
      <c r="A870" s="50">
        <v>174</v>
      </c>
      <c r="B870" s="50" t="s">
        <v>926</v>
      </c>
      <c r="C870" s="50" t="s">
        <v>1352</v>
      </c>
      <c r="D870" s="50">
        <v>43</v>
      </c>
      <c r="E870" s="50" t="s">
        <v>1359</v>
      </c>
      <c r="F870" s="50">
        <v>12</v>
      </c>
      <c r="G870" s="50">
        <v>5.6</v>
      </c>
      <c r="H870" s="50">
        <v>38</v>
      </c>
      <c r="I870" s="50">
        <v>2.99</v>
      </c>
      <c r="J870" s="50">
        <v>103</v>
      </c>
      <c r="K870" s="50">
        <v>91</v>
      </c>
      <c r="L870" s="50">
        <v>4.7300000000000004</v>
      </c>
      <c r="M870" s="50">
        <v>4.55</v>
      </c>
      <c r="N870" s="50">
        <v>38</v>
      </c>
      <c r="O870" s="50">
        <v>12.1</v>
      </c>
      <c r="P870" s="50">
        <v>13.1</v>
      </c>
      <c r="Q870" s="50">
        <v>35.9</v>
      </c>
      <c r="R870" s="50">
        <v>50.1</v>
      </c>
      <c r="S870" s="50">
        <v>31.8</v>
      </c>
      <c r="T870" s="50">
        <v>37</v>
      </c>
      <c r="U870" s="50">
        <v>7.43</v>
      </c>
      <c r="V870" s="50">
        <v>66.2</v>
      </c>
      <c r="W870" s="50">
        <v>47</v>
      </c>
      <c r="X870" s="50">
        <v>355</v>
      </c>
      <c r="Y870" s="50">
        <v>16.079999999999998</v>
      </c>
      <c r="Z870" s="50">
        <v>27.8</v>
      </c>
      <c r="AA870" s="50">
        <v>5.03</v>
      </c>
      <c r="AB870" s="50"/>
      <c r="AC870" s="50"/>
      <c r="AD870" s="50"/>
      <c r="AE870" s="50"/>
      <c r="AF870" s="50"/>
      <c r="AG870" s="50"/>
      <c r="AH870" s="50"/>
      <c r="AI870" s="50"/>
      <c r="AJ870" s="50"/>
    </row>
    <row r="871" spans="1:36" ht="15" customHeight="1" x14ac:dyDescent="0.25">
      <c r="A871" s="50">
        <v>174</v>
      </c>
      <c r="B871" s="50" t="s">
        <v>926</v>
      </c>
      <c r="C871" s="50" t="s">
        <v>1352</v>
      </c>
      <c r="D871" s="50">
        <v>43</v>
      </c>
      <c r="E871" s="50" t="s">
        <v>1359</v>
      </c>
      <c r="F871" s="50">
        <v>21</v>
      </c>
      <c r="G871" s="50">
        <v>4.5999999999999996</v>
      </c>
      <c r="H871" s="50">
        <v>37</v>
      </c>
      <c r="I871" s="50">
        <v>2.72</v>
      </c>
      <c r="J871" s="50">
        <v>105</v>
      </c>
      <c r="K871" s="50">
        <v>85</v>
      </c>
      <c r="L871" s="50">
        <v>3.86</v>
      </c>
      <c r="M871" s="50">
        <v>4.18</v>
      </c>
      <c r="N871" s="50">
        <v>34</v>
      </c>
      <c r="O871" s="50">
        <v>11.4</v>
      </c>
      <c r="P871" s="50">
        <v>11.7</v>
      </c>
      <c r="Q871" s="50">
        <v>34.700000000000003</v>
      </c>
      <c r="R871" s="50">
        <v>54.5</v>
      </c>
      <c r="S871" s="50">
        <v>33.799999999999997</v>
      </c>
      <c r="T871" s="50">
        <v>49</v>
      </c>
      <c r="U871" s="50">
        <v>6.78</v>
      </c>
      <c r="V871" s="50">
        <v>69</v>
      </c>
      <c r="W871" s="50">
        <v>52</v>
      </c>
      <c r="X871" s="50">
        <v>386</v>
      </c>
      <c r="Y871" s="50">
        <v>15.23</v>
      </c>
      <c r="Z871" s="50">
        <v>29.8</v>
      </c>
      <c r="AA871" s="50">
        <v>5.35</v>
      </c>
      <c r="AB871" s="50"/>
      <c r="AC871" s="50"/>
      <c r="AD871" s="50"/>
      <c r="AE871" s="50"/>
      <c r="AF871" s="50"/>
      <c r="AG871" s="50"/>
      <c r="AH871" s="50"/>
      <c r="AI871" s="50"/>
      <c r="AJ871" s="50"/>
    </row>
    <row r="872" spans="1:36" ht="15" customHeight="1" x14ac:dyDescent="0.25">
      <c r="A872" s="50">
        <v>175</v>
      </c>
      <c r="B872" s="50" t="s">
        <v>926</v>
      </c>
      <c r="C872" s="50" t="s">
        <v>1357</v>
      </c>
      <c r="D872" s="50">
        <v>37</v>
      </c>
      <c r="E872" s="50" t="s">
        <v>1360</v>
      </c>
      <c r="F872" s="50">
        <v>0</v>
      </c>
      <c r="G872" s="50">
        <v>7.2</v>
      </c>
      <c r="H872" s="50">
        <v>34</v>
      </c>
      <c r="I872" s="50">
        <v>3.42</v>
      </c>
      <c r="J872" s="50">
        <v>101</v>
      </c>
      <c r="K872" s="50">
        <v>100</v>
      </c>
      <c r="L872" s="50">
        <v>7</v>
      </c>
      <c r="M872" s="50">
        <v>6.88</v>
      </c>
      <c r="N872" s="50">
        <v>65</v>
      </c>
      <c r="O872" s="50">
        <v>12.8</v>
      </c>
      <c r="P872" s="50">
        <v>10.7</v>
      </c>
      <c r="Q872" s="50">
        <v>30.9</v>
      </c>
      <c r="R872" s="50">
        <v>41.9</v>
      </c>
      <c r="S872" s="50">
        <v>16</v>
      </c>
      <c r="T872" s="50">
        <v>34</v>
      </c>
      <c r="U872" s="50">
        <v>9.01</v>
      </c>
      <c r="V872" s="50">
        <v>60.8</v>
      </c>
      <c r="W872" s="50">
        <v>37</v>
      </c>
      <c r="X872" s="50">
        <v>381</v>
      </c>
      <c r="Y872" s="50">
        <v>16.07</v>
      </c>
      <c r="Z872" s="50">
        <v>22.2</v>
      </c>
      <c r="AA872" s="50">
        <v>3.78</v>
      </c>
      <c r="AB872" s="50"/>
      <c r="AC872" s="50"/>
      <c r="AD872" s="50"/>
      <c r="AE872" s="50"/>
      <c r="AF872" s="50"/>
      <c r="AG872" s="50"/>
      <c r="AH872" s="50"/>
      <c r="AI872" s="50"/>
      <c r="AJ872" s="50"/>
    </row>
    <row r="873" spans="1:36" ht="15" customHeight="1" x14ac:dyDescent="0.25">
      <c r="A873" s="50">
        <v>175</v>
      </c>
      <c r="B873" s="50" t="s">
        <v>926</v>
      </c>
      <c r="C873" s="50" t="s">
        <v>1357</v>
      </c>
      <c r="D873" s="50">
        <v>37</v>
      </c>
      <c r="E873" s="50" t="s">
        <v>1360</v>
      </c>
      <c r="F873" s="50">
        <v>4</v>
      </c>
      <c r="G873" s="50">
        <v>6.7</v>
      </c>
      <c r="H873" s="50">
        <v>34</v>
      </c>
      <c r="I873" s="50">
        <v>3.37</v>
      </c>
      <c r="J873" s="50">
        <v>101</v>
      </c>
      <c r="K873" s="50">
        <v>97</v>
      </c>
      <c r="L873" s="50">
        <v>6.64</v>
      </c>
      <c r="M873" s="50">
        <v>6.6</v>
      </c>
      <c r="N873" s="50">
        <v>61</v>
      </c>
      <c r="O873" s="50">
        <v>12.4</v>
      </c>
      <c r="P873" s="50">
        <v>10.8</v>
      </c>
      <c r="Q873" s="50">
        <v>32.4</v>
      </c>
      <c r="R873" s="50">
        <v>42.2</v>
      </c>
      <c r="S873" s="50">
        <v>18.600000000000001</v>
      </c>
      <c r="T873" s="50">
        <v>35</v>
      </c>
      <c r="U873" s="50">
        <v>9.19</v>
      </c>
      <c r="V873" s="50">
        <v>61.4</v>
      </c>
      <c r="W873" s="50">
        <v>41</v>
      </c>
      <c r="X873" s="50">
        <v>393</v>
      </c>
      <c r="Y873" s="50">
        <v>15.74</v>
      </c>
      <c r="Z873" s="50">
        <v>24.4</v>
      </c>
      <c r="AA873" s="50">
        <v>4.07</v>
      </c>
      <c r="AB873" s="50"/>
      <c r="AC873" s="50"/>
      <c r="AD873" s="50"/>
      <c r="AE873" s="50"/>
      <c r="AF873" s="50"/>
      <c r="AG873" s="50"/>
      <c r="AH873" s="50"/>
      <c r="AI873" s="50"/>
      <c r="AJ873" s="50"/>
    </row>
    <row r="874" spans="1:36" ht="15" customHeight="1" x14ac:dyDescent="0.25">
      <c r="A874" s="50">
        <v>175</v>
      </c>
      <c r="B874" s="50" t="s">
        <v>926</v>
      </c>
      <c r="C874" s="50" t="s">
        <v>1357</v>
      </c>
      <c r="D874" s="50">
        <v>37</v>
      </c>
      <c r="E874" s="50" t="s">
        <v>1360</v>
      </c>
      <c r="F874" s="50">
        <v>8</v>
      </c>
      <c r="G874" s="50">
        <v>6.4</v>
      </c>
      <c r="H874" s="50">
        <v>33</v>
      </c>
      <c r="I874" s="50">
        <v>3.24</v>
      </c>
      <c r="J874" s="50">
        <v>101</v>
      </c>
      <c r="K874" s="50">
        <v>94</v>
      </c>
      <c r="L874" s="50">
        <v>6.29</v>
      </c>
      <c r="M874" s="50">
        <v>6.39</v>
      </c>
      <c r="N874" s="50">
        <v>60</v>
      </c>
      <c r="O874" s="50">
        <v>11.8</v>
      </c>
      <c r="P874" s="50">
        <v>10.8</v>
      </c>
      <c r="Q874" s="50">
        <v>30.4</v>
      </c>
      <c r="R874" s="50">
        <v>43.9</v>
      </c>
      <c r="S874" s="50">
        <v>17.7</v>
      </c>
      <c r="T874" s="50">
        <v>39</v>
      </c>
      <c r="U874" s="50">
        <v>8.77</v>
      </c>
      <c r="V874" s="50">
        <v>63.2</v>
      </c>
      <c r="W874" s="50">
        <v>44</v>
      </c>
      <c r="X874" s="50">
        <v>406</v>
      </c>
      <c r="Y874" s="50">
        <v>15.94</v>
      </c>
      <c r="Z874" s="50">
        <v>25</v>
      </c>
      <c r="AA874" s="50">
        <v>3.98</v>
      </c>
      <c r="AB874" s="50"/>
      <c r="AC874" s="50"/>
      <c r="AD874" s="50"/>
      <c r="AE874" s="50"/>
      <c r="AF874" s="50"/>
      <c r="AG874" s="50"/>
      <c r="AH874" s="50"/>
      <c r="AI874" s="50"/>
      <c r="AJ874" s="50"/>
    </row>
    <row r="875" spans="1:36" ht="15" customHeight="1" x14ac:dyDescent="0.25">
      <c r="A875" s="50">
        <v>175</v>
      </c>
      <c r="B875" s="50" t="s">
        <v>926</v>
      </c>
      <c r="C875" s="50" t="s">
        <v>1357</v>
      </c>
      <c r="D875" s="50">
        <v>37</v>
      </c>
      <c r="E875" s="50" t="s">
        <v>1360</v>
      </c>
      <c r="F875" s="50">
        <v>12</v>
      </c>
      <c r="G875" s="50">
        <v>6.4</v>
      </c>
      <c r="H875" s="50">
        <v>30</v>
      </c>
      <c r="I875" s="50">
        <v>3.17</v>
      </c>
      <c r="J875" s="50">
        <v>107</v>
      </c>
      <c r="K875" s="50">
        <v>91</v>
      </c>
      <c r="L875" s="50">
        <v>6.18</v>
      </c>
      <c r="M875" s="50">
        <v>6.21</v>
      </c>
      <c r="N875" s="50">
        <v>59</v>
      </c>
      <c r="O875" s="50">
        <v>12.4</v>
      </c>
      <c r="P875" s="50">
        <v>11.3</v>
      </c>
      <c r="Q875" s="50">
        <v>30</v>
      </c>
      <c r="R875" s="50">
        <v>44.2</v>
      </c>
      <c r="S875" s="50">
        <v>19.600000000000001</v>
      </c>
      <c r="T875" s="50">
        <v>39</v>
      </c>
      <c r="U875" s="50">
        <v>8.64</v>
      </c>
      <c r="V875" s="50">
        <v>63.1</v>
      </c>
      <c r="W875" s="50">
        <v>46</v>
      </c>
      <c r="X875" s="50">
        <v>409</v>
      </c>
      <c r="Y875" s="50">
        <v>15.95</v>
      </c>
      <c r="Z875" s="50">
        <v>24.8</v>
      </c>
      <c r="AA875" s="50">
        <v>4</v>
      </c>
      <c r="AB875" s="50"/>
      <c r="AC875" s="50"/>
      <c r="AD875" s="50"/>
      <c r="AE875" s="50"/>
      <c r="AF875" s="50"/>
      <c r="AG875" s="50"/>
      <c r="AH875" s="50"/>
      <c r="AI875" s="50"/>
      <c r="AJ875" s="50"/>
    </row>
    <row r="876" spans="1:36" ht="15" customHeight="1" x14ac:dyDescent="0.25">
      <c r="A876" s="50">
        <v>175</v>
      </c>
      <c r="B876" s="50" t="s">
        <v>926</v>
      </c>
      <c r="C876" s="50" t="s">
        <v>1357</v>
      </c>
      <c r="D876" s="50">
        <v>37</v>
      </c>
      <c r="E876" s="50" t="s">
        <v>1360</v>
      </c>
      <c r="F876" s="50">
        <v>21</v>
      </c>
      <c r="G876" s="50">
        <v>5.4</v>
      </c>
      <c r="H876" s="50">
        <v>31</v>
      </c>
      <c r="I876" s="50">
        <v>2.91</v>
      </c>
      <c r="J876" s="50">
        <v>110</v>
      </c>
      <c r="K876" s="50">
        <v>85</v>
      </c>
      <c r="L876" s="50">
        <v>5.38</v>
      </c>
      <c r="M876" s="50">
        <v>5.17</v>
      </c>
      <c r="N876" s="50">
        <v>53</v>
      </c>
      <c r="O876" s="50">
        <v>10.3</v>
      </c>
      <c r="P876" s="50">
        <v>10.3</v>
      </c>
      <c r="Q876" s="50">
        <v>29.8</v>
      </c>
      <c r="R876" s="50">
        <v>48.4</v>
      </c>
      <c r="S876" s="50">
        <v>21.7</v>
      </c>
      <c r="T876" s="50">
        <v>46</v>
      </c>
      <c r="U876" s="50">
        <v>7.87</v>
      </c>
      <c r="V876" s="50">
        <v>64.5</v>
      </c>
      <c r="W876" s="50">
        <v>50</v>
      </c>
      <c r="X876" s="50">
        <v>433</v>
      </c>
      <c r="Y876" s="50">
        <v>14.49</v>
      </c>
      <c r="Z876" s="50">
        <v>28.5</v>
      </c>
      <c r="AA876" s="50">
        <v>4.43</v>
      </c>
      <c r="AB876" s="50"/>
      <c r="AC876" s="50"/>
      <c r="AD876" s="50"/>
      <c r="AE876" s="50"/>
      <c r="AF876" s="50"/>
      <c r="AG876" s="50"/>
      <c r="AH876" s="50"/>
      <c r="AI876" s="50"/>
      <c r="AJ876" s="50"/>
    </row>
    <row r="877" spans="1:36" ht="15" customHeight="1" x14ac:dyDescent="0.25">
      <c r="A877" s="50">
        <v>176</v>
      </c>
      <c r="B877" s="50" t="s">
        <v>926</v>
      </c>
      <c r="C877" s="50" t="s">
        <v>1357</v>
      </c>
      <c r="D877" s="50">
        <v>37</v>
      </c>
      <c r="E877" s="50" t="s">
        <v>1359</v>
      </c>
      <c r="F877" s="50">
        <v>0</v>
      </c>
      <c r="G877" s="50">
        <v>6.5</v>
      </c>
      <c r="H877" s="50">
        <v>44</v>
      </c>
      <c r="I877" s="50">
        <v>3.84</v>
      </c>
      <c r="J877" s="50">
        <v>95</v>
      </c>
      <c r="K877" s="50">
        <v>100</v>
      </c>
      <c r="L877" s="50">
        <v>7.66</v>
      </c>
      <c r="M877" s="50">
        <v>5.82</v>
      </c>
      <c r="N877" s="50">
        <v>41</v>
      </c>
      <c r="O877" s="50">
        <v>15</v>
      </c>
      <c r="P877" s="50">
        <v>6.8</v>
      </c>
      <c r="Q877" s="50">
        <v>58.4</v>
      </c>
      <c r="R877" s="50">
        <v>41.6</v>
      </c>
      <c r="S877" s="50">
        <v>18.7</v>
      </c>
      <c r="T877" s="50">
        <v>53</v>
      </c>
      <c r="U877" s="50">
        <v>8.69</v>
      </c>
      <c r="V877" s="50">
        <v>58.1</v>
      </c>
      <c r="W877" s="50">
        <v>43</v>
      </c>
      <c r="X877" s="50">
        <v>339</v>
      </c>
      <c r="Y877" s="50">
        <v>14.4</v>
      </c>
      <c r="Z877" s="50">
        <v>19.7</v>
      </c>
      <c r="AA877" s="50">
        <v>5.0999999999999996</v>
      </c>
      <c r="AB877" s="50"/>
      <c r="AC877" s="50"/>
      <c r="AD877" s="50"/>
      <c r="AE877" s="50"/>
      <c r="AF877" s="50"/>
      <c r="AG877" s="50"/>
      <c r="AH877" s="50"/>
      <c r="AI877" s="50"/>
      <c r="AJ877" s="50"/>
    </row>
    <row r="878" spans="1:36" ht="15" customHeight="1" x14ac:dyDescent="0.25">
      <c r="A878" s="50">
        <v>176</v>
      </c>
      <c r="B878" s="50" t="s">
        <v>926</v>
      </c>
      <c r="C878" s="50" t="s">
        <v>1357</v>
      </c>
      <c r="D878" s="50">
        <v>37</v>
      </c>
      <c r="E878" s="50" t="s">
        <v>1359</v>
      </c>
      <c r="F878" s="50">
        <v>4</v>
      </c>
      <c r="G878" s="50">
        <v>6.2</v>
      </c>
      <c r="H878" s="50">
        <v>44</v>
      </c>
      <c r="I878" s="50">
        <v>3.8</v>
      </c>
      <c r="J878" s="50">
        <v>91</v>
      </c>
      <c r="K878" s="50">
        <v>97</v>
      </c>
      <c r="L878" s="50">
        <v>7.33</v>
      </c>
      <c r="M878" s="50">
        <v>5.58</v>
      </c>
      <c r="N878" s="50">
        <v>42</v>
      </c>
      <c r="O878" s="50">
        <v>15.5</v>
      </c>
      <c r="P878" s="50">
        <v>7</v>
      </c>
      <c r="Q878" s="50">
        <v>56.4</v>
      </c>
      <c r="R878" s="50">
        <v>40.700000000000003</v>
      </c>
      <c r="S878" s="50">
        <v>20.9</v>
      </c>
      <c r="T878" s="50">
        <v>52</v>
      </c>
      <c r="U878" s="50">
        <v>8.6</v>
      </c>
      <c r="V878" s="50">
        <v>59.1</v>
      </c>
      <c r="W878" s="50">
        <v>43</v>
      </c>
      <c r="X878" s="50">
        <v>353</v>
      </c>
      <c r="Y878" s="50">
        <v>14.27</v>
      </c>
      <c r="Z878" s="50">
        <v>22.9</v>
      </c>
      <c r="AA878" s="50">
        <v>5.24</v>
      </c>
      <c r="AB878" s="50"/>
      <c r="AC878" s="50"/>
      <c r="AD878" s="50"/>
      <c r="AE878" s="50"/>
      <c r="AF878" s="50"/>
      <c r="AG878" s="50"/>
      <c r="AH878" s="50"/>
      <c r="AI878" s="50"/>
      <c r="AJ878" s="50"/>
    </row>
    <row r="879" spans="1:36" ht="15" customHeight="1" x14ac:dyDescent="0.25">
      <c r="A879" s="50">
        <v>176</v>
      </c>
      <c r="B879" s="50" t="s">
        <v>926</v>
      </c>
      <c r="C879" s="50" t="s">
        <v>1357</v>
      </c>
      <c r="D879" s="50">
        <v>37</v>
      </c>
      <c r="E879" s="50" t="s">
        <v>1359</v>
      </c>
      <c r="F879" s="50">
        <v>8</v>
      </c>
      <c r="G879" s="50">
        <v>5.9</v>
      </c>
      <c r="H879" s="50">
        <v>43</v>
      </c>
      <c r="I879" s="50">
        <v>3.67</v>
      </c>
      <c r="J879" s="50">
        <v>97</v>
      </c>
      <c r="K879" s="50">
        <v>94</v>
      </c>
      <c r="L879" s="50">
        <v>6.9</v>
      </c>
      <c r="M879" s="50">
        <v>5.0599999999999996</v>
      </c>
      <c r="N879" s="50">
        <v>39</v>
      </c>
      <c r="O879" s="50">
        <v>14.5</v>
      </c>
      <c r="P879" s="50">
        <v>7.3</v>
      </c>
      <c r="Q879" s="50">
        <v>55.4</v>
      </c>
      <c r="R879" s="50">
        <v>40.299999999999997</v>
      </c>
      <c r="S879" s="50">
        <v>22.1</v>
      </c>
      <c r="T879" s="50">
        <v>54</v>
      </c>
      <c r="U879" s="50">
        <v>10.4</v>
      </c>
      <c r="V879" s="50">
        <v>61.9</v>
      </c>
      <c r="W879" s="50">
        <v>47</v>
      </c>
      <c r="X879" s="50">
        <v>346</v>
      </c>
      <c r="Y879" s="50">
        <v>13.62</v>
      </c>
      <c r="Z879" s="50">
        <v>22.6</v>
      </c>
      <c r="AA879" s="50">
        <v>5.21</v>
      </c>
      <c r="AB879" s="50"/>
      <c r="AC879" s="50"/>
      <c r="AD879" s="50"/>
      <c r="AE879" s="50"/>
      <c r="AF879" s="50"/>
      <c r="AG879" s="50"/>
      <c r="AH879" s="50"/>
      <c r="AI879" s="50"/>
      <c r="AJ879" s="50"/>
    </row>
    <row r="880" spans="1:36" ht="15" customHeight="1" x14ac:dyDescent="0.25">
      <c r="A880" s="50">
        <v>176</v>
      </c>
      <c r="B880" s="50" t="s">
        <v>926</v>
      </c>
      <c r="C880" s="50" t="s">
        <v>1357</v>
      </c>
      <c r="D880" s="50">
        <v>37</v>
      </c>
      <c r="E880" s="50" t="s">
        <v>1359</v>
      </c>
      <c r="F880" s="50">
        <v>12</v>
      </c>
      <c r="G880" s="50">
        <v>5.8</v>
      </c>
      <c r="H880" s="50">
        <v>42</v>
      </c>
      <c r="I880" s="50">
        <v>3.54</v>
      </c>
      <c r="J880" s="50">
        <v>95</v>
      </c>
      <c r="K880" s="50">
        <v>91</v>
      </c>
      <c r="L880" s="50">
        <v>6.9</v>
      </c>
      <c r="M880" s="50">
        <v>4.87</v>
      </c>
      <c r="N880" s="50">
        <v>39</v>
      </c>
      <c r="O880" s="50">
        <v>13.8</v>
      </c>
      <c r="P880" s="50">
        <v>6.5</v>
      </c>
      <c r="Q880" s="50">
        <v>53.8</v>
      </c>
      <c r="R880" s="50">
        <v>42</v>
      </c>
      <c r="S880" s="50">
        <v>23.2</v>
      </c>
      <c r="T880" s="50">
        <v>53</v>
      </c>
      <c r="U880" s="50">
        <v>8.02</v>
      </c>
      <c r="V880" s="50">
        <v>59.9</v>
      </c>
      <c r="W880" s="50">
        <v>46</v>
      </c>
      <c r="X880" s="50">
        <v>362</v>
      </c>
      <c r="Y880" s="50">
        <v>13.84</v>
      </c>
      <c r="Z880" s="50">
        <v>23.6</v>
      </c>
      <c r="AA880" s="50">
        <v>5.15</v>
      </c>
      <c r="AB880" s="50"/>
      <c r="AC880" s="50"/>
      <c r="AD880" s="50"/>
      <c r="AE880" s="50"/>
      <c r="AF880" s="50"/>
      <c r="AG880" s="50"/>
      <c r="AH880" s="50"/>
      <c r="AI880" s="50"/>
      <c r="AJ880" s="50"/>
    </row>
    <row r="881" spans="1:36" ht="15" customHeight="1" x14ac:dyDescent="0.25">
      <c r="A881" s="50">
        <v>176</v>
      </c>
      <c r="B881" s="50" t="s">
        <v>926</v>
      </c>
      <c r="C881" s="50" t="s">
        <v>1357</v>
      </c>
      <c r="D881" s="50">
        <v>37</v>
      </c>
      <c r="E881" s="50" t="s">
        <v>1359</v>
      </c>
      <c r="F881" s="50">
        <v>21</v>
      </c>
      <c r="G881" s="50">
        <v>4.8</v>
      </c>
      <c r="H881" s="50">
        <v>39</v>
      </c>
      <c r="I881" s="50">
        <v>3.34</v>
      </c>
      <c r="J881" s="50">
        <v>97</v>
      </c>
      <c r="K881" s="50">
        <v>85</v>
      </c>
      <c r="L881" s="50">
        <v>5.9</v>
      </c>
      <c r="M881" s="50">
        <v>4.42</v>
      </c>
      <c r="N881" s="50">
        <v>36</v>
      </c>
      <c r="O881" s="50">
        <v>12.9</v>
      </c>
      <c r="P881" s="50">
        <v>7.4</v>
      </c>
      <c r="Q881" s="50">
        <v>46.7</v>
      </c>
      <c r="R881" s="50">
        <v>50.2</v>
      </c>
      <c r="S881" s="50">
        <v>25.4</v>
      </c>
      <c r="T881" s="50">
        <v>65</v>
      </c>
      <c r="U881" s="50">
        <v>9.4</v>
      </c>
      <c r="V881" s="50">
        <v>65.2</v>
      </c>
      <c r="W881" s="50">
        <v>56</v>
      </c>
      <c r="X881" s="50">
        <v>396</v>
      </c>
      <c r="Y881" s="50">
        <v>12.79</v>
      </c>
      <c r="Z881" s="50">
        <v>28.1</v>
      </c>
      <c r="AA881" s="50">
        <v>5.81</v>
      </c>
      <c r="AB881" s="50"/>
      <c r="AC881" s="50"/>
      <c r="AD881" s="50"/>
      <c r="AE881" s="50"/>
      <c r="AF881" s="50"/>
      <c r="AG881" s="50"/>
      <c r="AH881" s="50"/>
      <c r="AI881" s="50"/>
      <c r="AJ881" s="50"/>
    </row>
    <row r="882" spans="1:36" ht="15" customHeight="1" x14ac:dyDescent="0.25">
      <c r="A882" s="50">
        <v>177</v>
      </c>
      <c r="B882" s="50" t="s">
        <v>926</v>
      </c>
      <c r="C882" s="50" t="s">
        <v>1357</v>
      </c>
      <c r="D882" s="50">
        <v>51</v>
      </c>
      <c r="E882" s="50" t="s">
        <v>1359</v>
      </c>
      <c r="F882" s="50">
        <v>0</v>
      </c>
      <c r="G882" s="50">
        <v>6.9</v>
      </c>
      <c r="H882" s="50">
        <v>37</v>
      </c>
      <c r="I882" s="50">
        <v>2.7</v>
      </c>
      <c r="J882" s="50">
        <v>83</v>
      </c>
      <c r="K882" s="50">
        <v>100</v>
      </c>
      <c r="L882" s="50">
        <v>6.98</v>
      </c>
      <c r="M882" s="50">
        <v>6.01</v>
      </c>
      <c r="N882" s="50">
        <v>51</v>
      </c>
      <c r="O882" s="50">
        <v>13.3</v>
      </c>
      <c r="P882" s="50">
        <v>10.4</v>
      </c>
      <c r="Q882" s="50">
        <v>41.6</v>
      </c>
      <c r="R882" s="50">
        <v>44</v>
      </c>
      <c r="S882" s="50">
        <v>24</v>
      </c>
      <c r="T882" s="50">
        <v>37</v>
      </c>
      <c r="U882" s="50">
        <v>8.18</v>
      </c>
      <c r="V882" s="50">
        <v>55.2</v>
      </c>
      <c r="W882" s="50">
        <v>54</v>
      </c>
      <c r="X882" s="50">
        <v>301</v>
      </c>
      <c r="Y882" s="50">
        <v>14.74</v>
      </c>
      <c r="Z882" s="50">
        <v>32.9</v>
      </c>
      <c r="AA882" s="50">
        <v>5.7</v>
      </c>
      <c r="AB882" s="50"/>
      <c r="AC882" s="50"/>
      <c r="AD882" s="50"/>
      <c r="AE882" s="50"/>
      <c r="AF882" s="50"/>
      <c r="AG882" s="50"/>
      <c r="AH882" s="50"/>
      <c r="AI882" s="50"/>
      <c r="AJ882" s="50"/>
    </row>
    <row r="883" spans="1:36" ht="15" customHeight="1" x14ac:dyDescent="0.25">
      <c r="A883" s="50">
        <v>177</v>
      </c>
      <c r="B883" s="50" t="s">
        <v>926</v>
      </c>
      <c r="C883" s="50" t="s">
        <v>1357</v>
      </c>
      <c r="D883" s="50">
        <v>51</v>
      </c>
      <c r="E883" s="50" t="s">
        <v>1359</v>
      </c>
      <c r="F883" s="50">
        <v>4</v>
      </c>
      <c r="G883" s="50">
        <v>6.6</v>
      </c>
      <c r="H883" s="50">
        <v>34</v>
      </c>
      <c r="I883" s="50">
        <v>2.59</v>
      </c>
      <c r="J883" s="50">
        <v>89</v>
      </c>
      <c r="K883" s="50">
        <v>97</v>
      </c>
      <c r="L883" s="50">
        <v>6.74</v>
      </c>
      <c r="M883" s="50">
        <v>5.72</v>
      </c>
      <c r="N883" s="50">
        <v>51</v>
      </c>
      <c r="O883" s="50">
        <v>12.7</v>
      </c>
      <c r="P883" s="50">
        <v>9.1999999999999993</v>
      </c>
      <c r="Q883" s="50">
        <v>42.4</v>
      </c>
      <c r="R883" s="50">
        <v>46.9</v>
      </c>
      <c r="S883" s="50">
        <v>23.1</v>
      </c>
      <c r="T883" s="50">
        <v>39</v>
      </c>
      <c r="U883" s="50">
        <v>7.74</v>
      </c>
      <c r="V883" s="50">
        <v>55.9</v>
      </c>
      <c r="W883" s="50">
        <v>54</v>
      </c>
      <c r="X883" s="50">
        <v>312</v>
      </c>
      <c r="Y883" s="50">
        <v>14.08</v>
      </c>
      <c r="Z883" s="50">
        <v>33.299999999999997</v>
      </c>
      <c r="AA883" s="50">
        <v>5.25</v>
      </c>
      <c r="AB883" s="50"/>
      <c r="AC883" s="50"/>
      <c r="AD883" s="50"/>
      <c r="AE883" s="50"/>
      <c r="AF883" s="50"/>
      <c r="AG883" s="50"/>
      <c r="AH883" s="50"/>
      <c r="AI883" s="50"/>
      <c r="AJ883" s="50"/>
    </row>
    <row r="884" spans="1:36" ht="15" customHeight="1" x14ac:dyDescent="0.25">
      <c r="A884" s="50">
        <v>177</v>
      </c>
      <c r="B884" s="50" t="s">
        <v>926</v>
      </c>
      <c r="C884" s="50" t="s">
        <v>1357</v>
      </c>
      <c r="D884" s="50">
        <v>51</v>
      </c>
      <c r="E884" s="50" t="s">
        <v>1359</v>
      </c>
      <c r="F884" s="50">
        <v>8</v>
      </c>
      <c r="G884" s="50">
        <v>6</v>
      </c>
      <c r="H884" s="50">
        <v>36</v>
      </c>
      <c r="I884" s="50">
        <v>2.5</v>
      </c>
      <c r="J884" s="50">
        <v>87</v>
      </c>
      <c r="K884" s="50">
        <v>94</v>
      </c>
      <c r="L884" s="50">
        <v>6.17</v>
      </c>
      <c r="M884" s="50">
        <v>5.47</v>
      </c>
      <c r="N884" s="50">
        <v>48</v>
      </c>
      <c r="O884" s="50">
        <v>12.3</v>
      </c>
      <c r="P884" s="50">
        <v>9</v>
      </c>
      <c r="Q884" s="50">
        <v>38.6</v>
      </c>
      <c r="R884" s="50">
        <v>48</v>
      </c>
      <c r="S884" s="50">
        <v>26.7</v>
      </c>
      <c r="T884" s="50">
        <v>41</v>
      </c>
      <c r="U884" s="50">
        <v>7.36</v>
      </c>
      <c r="V884" s="50">
        <v>57</v>
      </c>
      <c r="W884" s="50">
        <v>57</v>
      </c>
      <c r="X884" s="50">
        <v>357</v>
      </c>
      <c r="Y884" s="50">
        <v>13.84</v>
      </c>
      <c r="Z884" s="50">
        <v>33.200000000000003</v>
      </c>
      <c r="AA884" s="50">
        <v>5.49</v>
      </c>
      <c r="AB884" s="50"/>
      <c r="AC884" s="50"/>
      <c r="AD884" s="50"/>
      <c r="AE884" s="50"/>
      <c r="AF884" s="50"/>
      <c r="AG884" s="50"/>
      <c r="AH884" s="50"/>
      <c r="AI884" s="50"/>
      <c r="AJ884" s="50"/>
    </row>
    <row r="885" spans="1:36" ht="15" customHeight="1" x14ac:dyDescent="0.25">
      <c r="A885" s="50">
        <v>177</v>
      </c>
      <c r="B885" s="50" t="s">
        <v>926</v>
      </c>
      <c r="C885" s="50" t="s">
        <v>1357</v>
      </c>
      <c r="D885" s="50">
        <v>51</v>
      </c>
      <c r="E885" s="50" t="s">
        <v>1359</v>
      </c>
      <c r="F885" s="50">
        <v>12</v>
      </c>
      <c r="G885" s="50">
        <v>6</v>
      </c>
      <c r="H885" s="50">
        <v>34</v>
      </c>
      <c r="I885" s="50">
        <v>2.4900000000000002</v>
      </c>
      <c r="J885" s="50">
        <v>94</v>
      </c>
      <c r="K885" s="50">
        <v>91</v>
      </c>
      <c r="L885" s="50">
        <v>6.06</v>
      </c>
      <c r="M885" s="50">
        <v>5.25</v>
      </c>
      <c r="N885" s="50">
        <v>47</v>
      </c>
      <c r="O885" s="50">
        <v>12.6</v>
      </c>
      <c r="P885" s="50">
        <v>9.4</v>
      </c>
      <c r="Q885" s="50">
        <v>36.9</v>
      </c>
      <c r="R885" s="50">
        <v>48.8</v>
      </c>
      <c r="S885" s="50">
        <v>25.7</v>
      </c>
      <c r="T885" s="50">
        <v>40</v>
      </c>
      <c r="U885" s="50">
        <v>6.59</v>
      </c>
      <c r="V885" s="50">
        <v>57.7</v>
      </c>
      <c r="W885" s="50">
        <v>57</v>
      </c>
      <c r="X885" s="50">
        <v>329</v>
      </c>
      <c r="Y885" s="50">
        <v>13.51</v>
      </c>
      <c r="Z885" s="50">
        <v>36.1</v>
      </c>
      <c r="AA885" s="50">
        <v>5.8</v>
      </c>
      <c r="AB885" s="50"/>
      <c r="AC885" s="50"/>
      <c r="AD885" s="50"/>
      <c r="AE885" s="50"/>
      <c r="AF885" s="50"/>
      <c r="AG885" s="50"/>
      <c r="AH885" s="50"/>
      <c r="AI885" s="50"/>
      <c r="AJ885" s="50"/>
    </row>
    <row r="886" spans="1:36" ht="15" customHeight="1" x14ac:dyDescent="0.25">
      <c r="A886" s="50">
        <v>177</v>
      </c>
      <c r="B886" s="50" t="s">
        <v>926</v>
      </c>
      <c r="C886" s="50" t="s">
        <v>1357</v>
      </c>
      <c r="D886" s="50">
        <v>51</v>
      </c>
      <c r="E886" s="50" t="s">
        <v>1359</v>
      </c>
      <c r="F886" s="50">
        <v>21</v>
      </c>
      <c r="G886" s="50">
        <v>4.5999999999999996</v>
      </c>
      <c r="H886" s="50">
        <v>33</v>
      </c>
      <c r="I886" s="50">
        <v>2.2599999999999998</v>
      </c>
      <c r="J886" s="50">
        <v>95</v>
      </c>
      <c r="K886" s="50">
        <v>85</v>
      </c>
      <c r="L886" s="50">
        <v>4.87</v>
      </c>
      <c r="M886" s="50">
        <v>4.05</v>
      </c>
      <c r="N886" s="50">
        <v>41</v>
      </c>
      <c r="O886" s="50">
        <v>11</v>
      </c>
      <c r="P886" s="50">
        <v>8.3000000000000007</v>
      </c>
      <c r="Q886" s="50">
        <v>36.200000000000003</v>
      </c>
      <c r="R886" s="50">
        <v>54.2</v>
      </c>
      <c r="S886" s="50">
        <v>28.9</v>
      </c>
      <c r="T886" s="50">
        <v>49</v>
      </c>
      <c r="U886" s="50">
        <v>5.85</v>
      </c>
      <c r="V886" s="50">
        <v>62.1</v>
      </c>
      <c r="W886" s="50">
        <v>62</v>
      </c>
      <c r="X886" s="50">
        <v>405</v>
      </c>
      <c r="Y886" s="50">
        <v>11.55</v>
      </c>
      <c r="Z886" s="50">
        <v>38.5</v>
      </c>
      <c r="AA886" s="50">
        <v>6.11</v>
      </c>
      <c r="AB886" s="50"/>
      <c r="AC886" s="50"/>
      <c r="AD886" s="50"/>
      <c r="AE886" s="50"/>
      <c r="AF886" s="50"/>
      <c r="AG886" s="50"/>
      <c r="AH886" s="50"/>
      <c r="AI886" s="50"/>
      <c r="AJ886" s="50"/>
    </row>
    <row r="887" spans="1:36" ht="15" customHeight="1" x14ac:dyDescent="0.25">
      <c r="A887" s="50">
        <v>178</v>
      </c>
      <c r="B887" s="50" t="s">
        <v>926</v>
      </c>
      <c r="C887" s="50" t="s">
        <v>1357</v>
      </c>
      <c r="D887" s="50">
        <v>42</v>
      </c>
      <c r="E887" s="50" t="s">
        <v>1359</v>
      </c>
      <c r="F887" s="50">
        <v>0</v>
      </c>
      <c r="G887" s="50">
        <v>7.3</v>
      </c>
      <c r="H887" s="50">
        <v>40</v>
      </c>
      <c r="I887" s="50">
        <v>2.8</v>
      </c>
      <c r="J887" s="50">
        <v>105</v>
      </c>
      <c r="K887" s="50">
        <v>100</v>
      </c>
      <c r="L887" s="50">
        <v>6.08</v>
      </c>
      <c r="M887" s="50">
        <v>6.01</v>
      </c>
      <c r="N887" s="50">
        <v>55</v>
      </c>
      <c r="O887" s="50">
        <v>10.3</v>
      </c>
      <c r="P887" s="50">
        <v>13.3</v>
      </c>
      <c r="Q887" s="50">
        <v>44.8</v>
      </c>
      <c r="R887" s="50">
        <v>40.200000000000003</v>
      </c>
      <c r="S887" s="50">
        <v>18.2</v>
      </c>
      <c r="T887" s="50">
        <v>44</v>
      </c>
      <c r="U887" s="50">
        <v>8.8000000000000007</v>
      </c>
      <c r="V887" s="50">
        <v>55.4</v>
      </c>
      <c r="W887" s="50">
        <v>49</v>
      </c>
      <c r="X887" s="50">
        <v>350</v>
      </c>
      <c r="Y887" s="50">
        <v>14.8</v>
      </c>
      <c r="Z887" s="50">
        <v>31.1</v>
      </c>
      <c r="AA887" s="50">
        <v>5.19</v>
      </c>
      <c r="AB887" s="50"/>
      <c r="AC887" s="50"/>
      <c r="AD887" s="50"/>
      <c r="AE887" s="50"/>
      <c r="AF887" s="50"/>
      <c r="AG887" s="50"/>
      <c r="AH887" s="50"/>
      <c r="AI887" s="50"/>
      <c r="AJ887" s="50"/>
    </row>
    <row r="888" spans="1:36" ht="15" customHeight="1" x14ac:dyDescent="0.25">
      <c r="A888" s="50">
        <v>178</v>
      </c>
      <c r="B888" s="50" t="s">
        <v>926</v>
      </c>
      <c r="C888" s="50" t="s">
        <v>1357</v>
      </c>
      <c r="D888" s="50">
        <v>42</v>
      </c>
      <c r="E888" s="50" t="s">
        <v>1359</v>
      </c>
      <c r="F888" s="50">
        <v>4</v>
      </c>
      <c r="G888" s="50">
        <v>6.9</v>
      </c>
      <c r="H888" s="50">
        <v>40</v>
      </c>
      <c r="I888" s="50">
        <v>2.71</v>
      </c>
      <c r="J888" s="50">
        <v>109</v>
      </c>
      <c r="K888" s="50">
        <v>97</v>
      </c>
      <c r="L888" s="50">
        <v>5.84</v>
      </c>
      <c r="M888" s="50">
        <v>5.97</v>
      </c>
      <c r="N888" s="50">
        <v>52</v>
      </c>
      <c r="O888" s="50">
        <v>10</v>
      </c>
      <c r="P888" s="50">
        <v>12.8</v>
      </c>
      <c r="Q888" s="50">
        <v>45.1</v>
      </c>
      <c r="R888" s="50">
        <v>39.4</v>
      </c>
      <c r="S888" s="50">
        <v>19.399999999999999</v>
      </c>
      <c r="T888" s="50">
        <v>47</v>
      </c>
      <c r="U888" s="50">
        <v>7.94</v>
      </c>
      <c r="V888" s="50">
        <v>56.2</v>
      </c>
      <c r="W888" s="50">
        <v>53</v>
      </c>
      <c r="X888" s="50">
        <v>364</v>
      </c>
      <c r="Y888" s="50">
        <v>14.79</v>
      </c>
      <c r="Z888" s="50">
        <v>30.8</v>
      </c>
      <c r="AA888" s="50">
        <v>5.42</v>
      </c>
      <c r="AB888" s="50"/>
      <c r="AC888" s="50"/>
      <c r="AD888" s="50"/>
      <c r="AE888" s="50"/>
      <c r="AF888" s="50"/>
      <c r="AG888" s="50"/>
      <c r="AH888" s="50"/>
      <c r="AI888" s="50"/>
      <c r="AJ888" s="50"/>
    </row>
    <row r="889" spans="1:36" ht="15" customHeight="1" x14ac:dyDescent="0.25">
      <c r="A889" s="50">
        <v>178</v>
      </c>
      <c r="B889" s="50" t="s">
        <v>926</v>
      </c>
      <c r="C889" s="50" t="s">
        <v>1357</v>
      </c>
      <c r="D889" s="50">
        <v>42</v>
      </c>
      <c r="E889" s="50" t="s">
        <v>1359</v>
      </c>
      <c r="F889" s="50">
        <v>8</v>
      </c>
      <c r="G889" s="50">
        <v>6.3</v>
      </c>
      <c r="H889" s="50">
        <v>39</v>
      </c>
      <c r="I889" s="50">
        <v>2.59</v>
      </c>
      <c r="J889" s="50">
        <v>109</v>
      </c>
      <c r="K889" s="50">
        <v>94</v>
      </c>
      <c r="L889" s="50">
        <v>5.37</v>
      </c>
      <c r="M889" s="50">
        <v>5.61</v>
      </c>
      <c r="N889" s="50">
        <v>47</v>
      </c>
      <c r="O889" s="50">
        <v>10.6</v>
      </c>
      <c r="P889" s="50">
        <v>13</v>
      </c>
      <c r="Q889" s="50">
        <v>41.5</v>
      </c>
      <c r="R889" s="50">
        <v>43</v>
      </c>
      <c r="S889" s="50">
        <v>22.3</v>
      </c>
      <c r="T889" s="50">
        <v>50</v>
      </c>
      <c r="U889" s="50">
        <v>8.94</v>
      </c>
      <c r="V889" s="50">
        <v>59.2</v>
      </c>
      <c r="W889" s="50">
        <v>56</v>
      </c>
      <c r="X889" s="50">
        <v>378</v>
      </c>
      <c r="Y889" s="50">
        <v>14.22</v>
      </c>
      <c r="Z889" s="50">
        <v>32.6</v>
      </c>
      <c r="AA889" s="50">
        <v>5.44</v>
      </c>
      <c r="AB889" s="50"/>
      <c r="AC889" s="50"/>
      <c r="AD889" s="50"/>
      <c r="AE889" s="50"/>
      <c r="AF889" s="50"/>
      <c r="AG889" s="50"/>
      <c r="AH889" s="50"/>
      <c r="AI889" s="50"/>
      <c r="AJ889" s="50"/>
    </row>
    <row r="890" spans="1:36" ht="15" customHeight="1" x14ac:dyDescent="0.25">
      <c r="A890" s="50">
        <v>178</v>
      </c>
      <c r="B890" s="50" t="s">
        <v>926</v>
      </c>
      <c r="C890" s="50" t="s">
        <v>1357</v>
      </c>
      <c r="D890" s="50">
        <v>42</v>
      </c>
      <c r="E890" s="50" t="s">
        <v>1359</v>
      </c>
      <c r="F890" s="50">
        <v>12</v>
      </c>
      <c r="G890" s="50">
        <v>6.1</v>
      </c>
      <c r="H890" s="50">
        <v>38</v>
      </c>
      <c r="I890" s="50">
        <v>2.72</v>
      </c>
      <c r="J890" s="50">
        <v>108</v>
      </c>
      <c r="K890" s="50">
        <v>91</v>
      </c>
      <c r="L890" s="50">
        <v>5.03</v>
      </c>
      <c r="M890" s="50">
        <v>5.49</v>
      </c>
      <c r="N890" s="50">
        <v>45</v>
      </c>
      <c r="O890" s="50">
        <v>9.9</v>
      </c>
      <c r="P890" s="50">
        <v>12.7</v>
      </c>
      <c r="Q890" s="50">
        <v>41.3</v>
      </c>
      <c r="R890" s="50">
        <v>44.1</v>
      </c>
      <c r="S890" s="50">
        <v>21.6</v>
      </c>
      <c r="T890" s="50">
        <v>50</v>
      </c>
      <c r="U890" s="50">
        <v>8.4499999999999993</v>
      </c>
      <c r="V890" s="50">
        <v>57.1</v>
      </c>
      <c r="W890" s="50">
        <v>58</v>
      </c>
      <c r="X890" s="50">
        <v>386</v>
      </c>
      <c r="Y890" s="50">
        <v>13.46</v>
      </c>
      <c r="Z890" s="50">
        <v>32.1</v>
      </c>
      <c r="AA890" s="50">
        <v>5.51</v>
      </c>
      <c r="AB890" s="50"/>
      <c r="AC890" s="50"/>
      <c r="AD890" s="50"/>
      <c r="AE890" s="50"/>
      <c r="AF890" s="50"/>
      <c r="AG890" s="50"/>
      <c r="AH890" s="50"/>
      <c r="AI890" s="50"/>
      <c r="AJ890" s="50"/>
    </row>
    <row r="891" spans="1:36" ht="15" customHeight="1" x14ac:dyDescent="0.25">
      <c r="A891" s="50">
        <v>178</v>
      </c>
      <c r="B891" s="50" t="s">
        <v>926</v>
      </c>
      <c r="C891" s="50" t="s">
        <v>1357</v>
      </c>
      <c r="D891" s="50">
        <v>42</v>
      </c>
      <c r="E891" s="50" t="s">
        <v>1359</v>
      </c>
      <c r="F891" s="50">
        <v>21</v>
      </c>
      <c r="G891" s="50">
        <v>5.6</v>
      </c>
      <c r="H891" s="50">
        <v>36</v>
      </c>
      <c r="I891" s="50">
        <v>2.39</v>
      </c>
      <c r="J891" s="50">
        <v>118</v>
      </c>
      <c r="K891" s="50">
        <v>85</v>
      </c>
      <c r="L891" s="50">
        <v>4.68</v>
      </c>
      <c r="M891" s="50">
        <v>5.55</v>
      </c>
      <c r="N891" s="50">
        <v>42</v>
      </c>
      <c r="O891" s="50">
        <v>9.3000000000000007</v>
      </c>
      <c r="P891" s="50">
        <v>11.5</v>
      </c>
      <c r="Q891" s="50">
        <v>38.299999999999997</v>
      </c>
      <c r="R891" s="50">
        <v>49.3</v>
      </c>
      <c r="S891" s="50">
        <v>21.5</v>
      </c>
      <c r="T891" s="50">
        <v>55</v>
      </c>
      <c r="U891" s="50">
        <v>8.68</v>
      </c>
      <c r="V891" s="50">
        <v>60.4</v>
      </c>
      <c r="W891" s="50">
        <v>61</v>
      </c>
      <c r="X891" s="50">
        <v>396</v>
      </c>
      <c r="Y891" s="50">
        <v>12.91</v>
      </c>
      <c r="Z891" s="50">
        <v>32.799999999999997</v>
      </c>
      <c r="AA891" s="50">
        <v>5.69</v>
      </c>
      <c r="AB891" s="50"/>
      <c r="AC891" s="50"/>
      <c r="AD891" s="50"/>
      <c r="AE891" s="50"/>
      <c r="AF891" s="50"/>
      <c r="AG891" s="50"/>
      <c r="AH891" s="50"/>
      <c r="AI891" s="50"/>
      <c r="AJ891" s="50"/>
    </row>
    <row r="892" spans="1:36" ht="15" customHeight="1" x14ac:dyDescent="0.25">
      <c r="A892" s="50">
        <v>179</v>
      </c>
      <c r="B892" s="50" t="s">
        <v>926</v>
      </c>
      <c r="C892" s="50" t="s">
        <v>1352</v>
      </c>
      <c r="D892" s="50">
        <v>24</v>
      </c>
      <c r="E892" s="50" t="s">
        <v>1355</v>
      </c>
      <c r="F892" s="50">
        <v>0</v>
      </c>
      <c r="G892" s="50">
        <v>6.8</v>
      </c>
      <c r="H892" s="50">
        <v>46</v>
      </c>
      <c r="I892" s="50">
        <v>4.1399999999999997</v>
      </c>
      <c r="J892" s="50">
        <v>105</v>
      </c>
      <c r="K892" s="50">
        <v>100</v>
      </c>
      <c r="L892" s="50">
        <v>6.56</v>
      </c>
      <c r="M892" s="50">
        <v>7.56</v>
      </c>
      <c r="N892" s="50">
        <v>52</v>
      </c>
      <c r="O892" s="50">
        <v>11.6</v>
      </c>
      <c r="P892" s="50">
        <v>12.6</v>
      </c>
      <c r="Q892" s="50">
        <v>49.9</v>
      </c>
      <c r="R892" s="50">
        <v>35.200000000000003</v>
      </c>
      <c r="S892" s="50">
        <v>24.8</v>
      </c>
      <c r="T892" s="50">
        <v>49</v>
      </c>
      <c r="U892" s="50">
        <v>10.34</v>
      </c>
      <c r="V892" s="50">
        <v>63.9</v>
      </c>
      <c r="W892" s="50">
        <v>61</v>
      </c>
      <c r="X892" s="50">
        <v>334</v>
      </c>
      <c r="Y892" s="50">
        <v>12.84</v>
      </c>
      <c r="Z892" s="50">
        <v>24.6</v>
      </c>
      <c r="AA892" s="50">
        <v>4.74</v>
      </c>
      <c r="AB892" s="50"/>
      <c r="AC892" s="50"/>
      <c r="AD892" s="50"/>
      <c r="AE892" s="50"/>
      <c r="AF892" s="50"/>
      <c r="AG892" s="50"/>
      <c r="AH892" s="50"/>
      <c r="AI892" s="50"/>
      <c r="AJ892" s="50"/>
    </row>
    <row r="893" spans="1:36" ht="15" customHeight="1" x14ac:dyDescent="0.25">
      <c r="A893" s="50">
        <v>179</v>
      </c>
      <c r="B893" s="50" t="s">
        <v>926</v>
      </c>
      <c r="C893" s="50" t="s">
        <v>1352</v>
      </c>
      <c r="D893" s="50">
        <v>24</v>
      </c>
      <c r="E893" s="50" t="s">
        <v>1355</v>
      </c>
      <c r="F893" s="50">
        <v>4</v>
      </c>
      <c r="G893" s="50">
        <v>6.4</v>
      </c>
      <c r="H893" s="50">
        <v>44</v>
      </c>
      <c r="I893" s="50">
        <v>4.05</v>
      </c>
      <c r="J893" s="50">
        <v>108</v>
      </c>
      <c r="K893" s="50">
        <v>97</v>
      </c>
      <c r="L893" s="50">
        <v>6.39</v>
      </c>
      <c r="M893" s="50">
        <v>7.27</v>
      </c>
      <c r="N893" s="50">
        <v>50</v>
      </c>
      <c r="O893" s="50">
        <v>10.3</v>
      </c>
      <c r="P893" s="50">
        <v>11.7</v>
      </c>
      <c r="Q893" s="50">
        <v>44.9</v>
      </c>
      <c r="R893" s="50">
        <v>37.4</v>
      </c>
      <c r="S893" s="50">
        <v>27</v>
      </c>
      <c r="T893" s="50">
        <v>49</v>
      </c>
      <c r="U893" s="50">
        <v>9.5399999999999991</v>
      </c>
      <c r="V893" s="50">
        <v>66</v>
      </c>
      <c r="W893" s="50">
        <v>63</v>
      </c>
      <c r="X893" s="50">
        <v>333</v>
      </c>
      <c r="Y893" s="50">
        <v>13.37</v>
      </c>
      <c r="Z893" s="50">
        <v>25.7</v>
      </c>
      <c r="AA893" s="50">
        <v>5.03</v>
      </c>
      <c r="AB893" s="50"/>
      <c r="AC893" s="50"/>
      <c r="AD893" s="50"/>
      <c r="AE893" s="50"/>
      <c r="AF893" s="50"/>
      <c r="AG893" s="50"/>
      <c r="AH893" s="50"/>
      <c r="AI893" s="50"/>
      <c r="AJ893" s="50"/>
    </row>
    <row r="894" spans="1:36" ht="15" customHeight="1" x14ac:dyDescent="0.25">
      <c r="A894" s="50">
        <v>179</v>
      </c>
      <c r="B894" s="50" t="s">
        <v>926</v>
      </c>
      <c r="C894" s="50" t="s">
        <v>1352</v>
      </c>
      <c r="D894" s="50">
        <v>24</v>
      </c>
      <c r="E894" s="50" t="s">
        <v>1355</v>
      </c>
      <c r="F894" s="50">
        <v>8</v>
      </c>
      <c r="G894" s="50">
        <v>6</v>
      </c>
      <c r="H894" s="50">
        <v>43</v>
      </c>
      <c r="I894" s="50">
        <v>3.86</v>
      </c>
      <c r="J894" s="50">
        <v>110</v>
      </c>
      <c r="K894" s="50">
        <v>94</v>
      </c>
      <c r="L894" s="50">
        <v>6</v>
      </c>
      <c r="M894" s="50">
        <v>7.22</v>
      </c>
      <c r="N894" s="50">
        <v>49</v>
      </c>
      <c r="O894" s="50">
        <v>11</v>
      </c>
      <c r="P894" s="50">
        <v>12.7</v>
      </c>
      <c r="Q894" s="50">
        <v>45</v>
      </c>
      <c r="R894" s="50">
        <v>40.299999999999997</v>
      </c>
      <c r="S894" s="50">
        <v>29.9</v>
      </c>
      <c r="T894" s="50">
        <v>52</v>
      </c>
      <c r="U894" s="50">
        <v>9.15</v>
      </c>
      <c r="V894" s="50">
        <v>67.3</v>
      </c>
      <c r="W894" s="50">
        <v>64</v>
      </c>
      <c r="X894" s="50">
        <v>357</v>
      </c>
      <c r="Y894" s="50">
        <v>12.29</v>
      </c>
      <c r="Z894" s="50">
        <v>25.6</v>
      </c>
      <c r="AA894" s="50">
        <v>5.23</v>
      </c>
      <c r="AB894" s="50"/>
      <c r="AC894" s="50"/>
      <c r="AD894" s="50"/>
      <c r="AE894" s="50"/>
      <c r="AF894" s="50"/>
      <c r="AG894" s="50"/>
      <c r="AH894" s="50"/>
      <c r="AI894" s="50"/>
      <c r="AJ894" s="50"/>
    </row>
    <row r="895" spans="1:36" ht="15" customHeight="1" x14ac:dyDescent="0.25">
      <c r="A895" s="50">
        <v>179</v>
      </c>
      <c r="B895" s="50" t="s">
        <v>926</v>
      </c>
      <c r="C895" s="50" t="s">
        <v>1352</v>
      </c>
      <c r="D895" s="50">
        <v>24</v>
      </c>
      <c r="E895" s="50" t="s">
        <v>1355</v>
      </c>
      <c r="F895" s="50">
        <v>12</v>
      </c>
      <c r="G895" s="50">
        <v>5.8</v>
      </c>
      <c r="H895" s="50">
        <v>42</v>
      </c>
      <c r="I895" s="50">
        <v>3.82</v>
      </c>
      <c r="J895" s="50">
        <v>116</v>
      </c>
      <c r="K895" s="50">
        <v>91</v>
      </c>
      <c r="L895" s="50">
        <v>5.64</v>
      </c>
      <c r="M895" s="50">
        <v>6.59</v>
      </c>
      <c r="N895" s="50">
        <v>49</v>
      </c>
      <c r="O895" s="50">
        <v>10.1</v>
      </c>
      <c r="P895" s="50">
        <v>12.4</v>
      </c>
      <c r="Q895" s="50">
        <v>42.3</v>
      </c>
      <c r="R895" s="50">
        <v>41.8</v>
      </c>
      <c r="S895" s="50">
        <v>28.3</v>
      </c>
      <c r="T895" s="50">
        <v>54</v>
      </c>
      <c r="U895" s="50">
        <v>8.16</v>
      </c>
      <c r="V895" s="50">
        <v>65.599999999999994</v>
      </c>
      <c r="W895" s="50">
        <v>64</v>
      </c>
      <c r="X895" s="50">
        <v>365</v>
      </c>
      <c r="Y895" s="50">
        <v>12.01</v>
      </c>
      <c r="Z895" s="50">
        <v>27.9</v>
      </c>
      <c r="AA895" s="50">
        <v>5.24</v>
      </c>
      <c r="AB895" s="50"/>
      <c r="AC895" s="50"/>
      <c r="AD895" s="50"/>
      <c r="AE895" s="50"/>
      <c r="AF895" s="50"/>
      <c r="AG895" s="50"/>
      <c r="AH895" s="50"/>
      <c r="AI895" s="50"/>
      <c r="AJ895" s="50"/>
    </row>
    <row r="896" spans="1:36" ht="15" customHeight="1" x14ac:dyDescent="0.25">
      <c r="A896" s="50">
        <v>179</v>
      </c>
      <c r="B896" s="50" t="s">
        <v>926</v>
      </c>
      <c r="C896" s="50" t="s">
        <v>1352</v>
      </c>
      <c r="D896" s="50">
        <v>24</v>
      </c>
      <c r="E896" s="50" t="s">
        <v>1355</v>
      </c>
      <c r="F896" s="50">
        <v>21</v>
      </c>
      <c r="G896" s="50">
        <v>5.2</v>
      </c>
      <c r="H896" s="50">
        <v>38</v>
      </c>
      <c r="I896" s="50">
        <v>3.48</v>
      </c>
      <c r="J896" s="50">
        <v>117</v>
      </c>
      <c r="K896" s="50">
        <v>85</v>
      </c>
      <c r="L896" s="50">
        <v>5.14</v>
      </c>
      <c r="M896" s="50">
        <v>6.25</v>
      </c>
      <c r="N896" s="50">
        <v>45</v>
      </c>
      <c r="O896" s="50">
        <v>9.4</v>
      </c>
      <c r="P896" s="50">
        <v>10.7</v>
      </c>
      <c r="Q896" s="50">
        <v>38.4</v>
      </c>
      <c r="R896" s="50">
        <v>43.1</v>
      </c>
      <c r="S896" s="50">
        <v>29.6</v>
      </c>
      <c r="T896" s="50">
        <v>53</v>
      </c>
      <c r="U896" s="50">
        <v>9.23</v>
      </c>
      <c r="V896" s="50">
        <v>66.5</v>
      </c>
      <c r="W896" s="50">
        <v>68</v>
      </c>
      <c r="X896" s="50">
        <v>400</v>
      </c>
      <c r="Y896" s="50">
        <v>11.79</v>
      </c>
      <c r="Z896" s="50">
        <v>28.9</v>
      </c>
      <c r="AA896" s="50">
        <v>5.6</v>
      </c>
      <c r="AB896" s="50"/>
      <c r="AC896" s="50"/>
      <c r="AD896" s="50"/>
      <c r="AE896" s="50"/>
      <c r="AF896" s="50"/>
      <c r="AG896" s="50"/>
      <c r="AH896" s="50"/>
      <c r="AI896" s="50"/>
      <c r="AJ896" s="50"/>
    </row>
    <row r="897" spans="1:36" ht="15" customHeight="1" x14ac:dyDescent="0.25">
      <c r="A897" s="50">
        <v>180</v>
      </c>
      <c r="B897" s="50" t="s">
        <v>926</v>
      </c>
      <c r="C897" s="50" t="s">
        <v>1357</v>
      </c>
      <c r="D897" s="50">
        <v>22</v>
      </c>
      <c r="E897" s="50" t="s">
        <v>1360</v>
      </c>
      <c r="F897" s="50">
        <v>0</v>
      </c>
      <c r="G897" s="50">
        <v>7.5</v>
      </c>
      <c r="H897" s="50">
        <v>47</v>
      </c>
      <c r="I897" s="50">
        <v>3.33</v>
      </c>
      <c r="J897" s="50">
        <v>92</v>
      </c>
      <c r="K897" s="50">
        <v>100</v>
      </c>
      <c r="L897" s="50">
        <v>7.52</v>
      </c>
      <c r="M897" s="50">
        <v>5.58</v>
      </c>
      <c r="N897" s="50">
        <v>63</v>
      </c>
      <c r="O897" s="50">
        <v>15.5</v>
      </c>
      <c r="P897" s="50">
        <v>10.8</v>
      </c>
      <c r="Q897" s="50">
        <v>41.5</v>
      </c>
      <c r="R897" s="50">
        <v>44.2</v>
      </c>
      <c r="S897" s="50">
        <v>18.2</v>
      </c>
      <c r="T897" s="50">
        <v>42</v>
      </c>
      <c r="U897" s="50">
        <v>9.7799999999999994</v>
      </c>
      <c r="V897" s="50">
        <v>58.1</v>
      </c>
      <c r="W897" s="50">
        <v>56</v>
      </c>
      <c r="X897" s="50">
        <v>395</v>
      </c>
      <c r="Y897" s="50">
        <v>9.01</v>
      </c>
      <c r="Z897" s="50">
        <v>26.2</v>
      </c>
      <c r="AA897" s="50">
        <v>6.8</v>
      </c>
      <c r="AB897" s="50"/>
      <c r="AC897" s="50"/>
      <c r="AD897" s="50"/>
      <c r="AE897" s="50"/>
      <c r="AF897" s="50"/>
      <c r="AG897" s="50"/>
      <c r="AH897" s="50"/>
      <c r="AI897" s="50"/>
      <c r="AJ897" s="50"/>
    </row>
    <row r="898" spans="1:36" ht="15" customHeight="1" x14ac:dyDescent="0.25">
      <c r="A898" s="50">
        <v>180</v>
      </c>
      <c r="B898" s="50" t="s">
        <v>926</v>
      </c>
      <c r="C898" s="50" t="s">
        <v>1357</v>
      </c>
      <c r="D898" s="50">
        <v>22</v>
      </c>
      <c r="E898" s="50" t="s">
        <v>1360</v>
      </c>
      <c r="F898" s="50">
        <v>4</v>
      </c>
      <c r="G898" s="50">
        <v>6.8</v>
      </c>
      <c r="H898" s="50">
        <v>46</v>
      </c>
      <c r="I898" s="50">
        <v>3.21</v>
      </c>
      <c r="J898" s="50">
        <v>92</v>
      </c>
      <c r="K898" s="50">
        <v>97</v>
      </c>
      <c r="L898" s="50">
        <v>6.89</v>
      </c>
      <c r="M898" s="50">
        <v>5.16</v>
      </c>
      <c r="N898" s="50">
        <v>59</v>
      </c>
      <c r="O898" s="50">
        <v>14.7</v>
      </c>
      <c r="P898" s="50">
        <v>9.1</v>
      </c>
      <c r="Q898" s="50">
        <v>40.299999999999997</v>
      </c>
      <c r="R898" s="50">
        <v>44.6</v>
      </c>
      <c r="S898" s="50">
        <v>22.7</v>
      </c>
      <c r="T898" s="50">
        <v>43</v>
      </c>
      <c r="U898" s="50">
        <v>9.01</v>
      </c>
      <c r="V898" s="50">
        <v>59.6</v>
      </c>
      <c r="W898" s="50">
        <v>62</v>
      </c>
      <c r="X898" s="50">
        <v>421</v>
      </c>
      <c r="Y898" s="50">
        <v>8.76</v>
      </c>
      <c r="Z898" s="50">
        <v>27.3</v>
      </c>
      <c r="AA898" s="50">
        <v>6.6</v>
      </c>
      <c r="AB898" s="50"/>
      <c r="AC898" s="50"/>
      <c r="AD898" s="50"/>
      <c r="AE898" s="50"/>
      <c r="AF898" s="50"/>
      <c r="AG898" s="50"/>
      <c r="AH898" s="50"/>
      <c r="AI898" s="50"/>
      <c r="AJ898" s="50"/>
    </row>
    <row r="899" spans="1:36" ht="15" customHeight="1" x14ac:dyDescent="0.25">
      <c r="A899" s="50">
        <v>180</v>
      </c>
      <c r="B899" s="50" t="s">
        <v>926</v>
      </c>
      <c r="C899" s="50" t="s">
        <v>1357</v>
      </c>
      <c r="D899" s="50">
        <v>22</v>
      </c>
      <c r="E899" s="50" t="s">
        <v>1360</v>
      </c>
      <c r="F899" s="50">
        <v>8</v>
      </c>
      <c r="G899" s="50">
        <v>6.6</v>
      </c>
      <c r="H899" s="50">
        <v>46</v>
      </c>
      <c r="I899" s="50">
        <v>3.23</v>
      </c>
      <c r="J899" s="50">
        <v>96</v>
      </c>
      <c r="K899" s="50">
        <v>94</v>
      </c>
      <c r="L899" s="50">
        <v>6.38</v>
      </c>
      <c r="M899" s="50">
        <v>4.8899999999999997</v>
      </c>
      <c r="N899" s="50">
        <v>56</v>
      </c>
      <c r="O899" s="50">
        <v>14</v>
      </c>
      <c r="P899" s="50">
        <v>9.3000000000000007</v>
      </c>
      <c r="Q899" s="50">
        <v>38.1</v>
      </c>
      <c r="R899" s="50">
        <v>46.9</v>
      </c>
      <c r="S899" s="50">
        <v>23.2</v>
      </c>
      <c r="T899" s="50">
        <v>45</v>
      </c>
      <c r="U899" s="50">
        <v>7.41</v>
      </c>
      <c r="V899" s="50">
        <v>58.9</v>
      </c>
      <c r="W899" s="50">
        <v>63</v>
      </c>
      <c r="X899" s="50">
        <v>410</v>
      </c>
      <c r="Y899" s="50">
        <v>8.6300000000000008</v>
      </c>
      <c r="Z899" s="50">
        <v>28.2</v>
      </c>
      <c r="AA899" s="50">
        <v>6.93</v>
      </c>
      <c r="AB899" s="50"/>
      <c r="AC899" s="50"/>
      <c r="AD899" s="50"/>
      <c r="AE899" s="50"/>
      <c r="AF899" s="50"/>
      <c r="AG899" s="50"/>
      <c r="AH899" s="50"/>
      <c r="AI899" s="50"/>
      <c r="AJ899" s="50"/>
    </row>
    <row r="900" spans="1:36" ht="15" customHeight="1" x14ac:dyDescent="0.25">
      <c r="A900" s="50">
        <v>180</v>
      </c>
      <c r="B900" s="50" t="s">
        <v>926</v>
      </c>
      <c r="C900" s="50" t="s">
        <v>1357</v>
      </c>
      <c r="D900" s="50">
        <v>22</v>
      </c>
      <c r="E900" s="50" t="s">
        <v>1360</v>
      </c>
      <c r="F900" s="50">
        <v>12</v>
      </c>
      <c r="G900" s="50">
        <v>6.2</v>
      </c>
      <c r="H900" s="50">
        <v>45</v>
      </c>
      <c r="I900" s="50">
        <v>3.12</v>
      </c>
      <c r="J900" s="50">
        <v>99</v>
      </c>
      <c r="K900" s="50">
        <v>91</v>
      </c>
      <c r="L900" s="50">
        <v>6.22</v>
      </c>
      <c r="M900" s="50">
        <v>4.7</v>
      </c>
      <c r="N900" s="50">
        <v>56</v>
      </c>
      <c r="O900" s="50">
        <v>14.1</v>
      </c>
      <c r="P900" s="50">
        <v>10.199999999999999</v>
      </c>
      <c r="Q900" s="50">
        <v>37.4</v>
      </c>
      <c r="R900" s="50">
        <v>49.2</v>
      </c>
      <c r="S900" s="50">
        <v>26.3</v>
      </c>
      <c r="T900" s="50">
        <v>46</v>
      </c>
      <c r="U900" s="50">
        <v>9.1</v>
      </c>
      <c r="V900" s="50">
        <v>60.3</v>
      </c>
      <c r="W900" s="50">
        <v>67</v>
      </c>
      <c r="X900" s="50">
        <v>423</v>
      </c>
      <c r="Y900" s="50">
        <v>9.0500000000000007</v>
      </c>
      <c r="Z900" s="50">
        <v>29.1</v>
      </c>
      <c r="AA900" s="50">
        <v>6.6</v>
      </c>
      <c r="AB900" s="50"/>
      <c r="AC900" s="50"/>
      <c r="AD900" s="50"/>
      <c r="AE900" s="50"/>
      <c r="AF900" s="50"/>
      <c r="AG900" s="50"/>
      <c r="AH900" s="50"/>
      <c r="AI900" s="50"/>
      <c r="AJ900" s="50"/>
    </row>
    <row r="901" spans="1:36" ht="15" customHeight="1" x14ac:dyDescent="0.25">
      <c r="A901" s="50">
        <v>180</v>
      </c>
      <c r="B901" s="50" t="s">
        <v>926</v>
      </c>
      <c r="C901" s="50" t="s">
        <v>1357</v>
      </c>
      <c r="D901" s="50">
        <v>22</v>
      </c>
      <c r="E901" s="50" t="s">
        <v>1360</v>
      </c>
      <c r="F901" s="50">
        <v>21</v>
      </c>
      <c r="G901" s="50">
        <v>5.4</v>
      </c>
      <c r="H901" s="50">
        <v>43</v>
      </c>
      <c r="I901" s="50">
        <v>2.82</v>
      </c>
      <c r="J901" s="50">
        <v>98</v>
      </c>
      <c r="K901" s="50">
        <v>85</v>
      </c>
      <c r="L901" s="50">
        <v>5.68</v>
      </c>
      <c r="M901" s="50">
        <v>4.5999999999999996</v>
      </c>
      <c r="N901" s="50">
        <v>52</v>
      </c>
      <c r="O901" s="50">
        <v>13.6</v>
      </c>
      <c r="P901" s="50">
        <v>9</v>
      </c>
      <c r="Q901" s="50">
        <v>31.1</v>
      </c>
      <c r="R901" s="50">
        <v>52.3</v>
      </c>
      <c r="S901" s="50">
        <v>29.4</v>
      </c>
      <c r="T901" s="50">
        <v>53</v>
      </c>
      <c r="U901" s="50">
        <v>7.97</v>
      </c>
      <c r="V901" s="50">
        <v>61</v>
      </c>
      <c r="W901" s="50">
        <v>65</v>
      </c>
      <c r="X901" s="50">
        <v>441</v>
      </c>
      <c r="Y901" s="50">
        <v>8.94</v>
      </c>
      <c r="Z901" s="50">
        <v>32.799999999999997</v>
      </c>
      <c r="AA901" s="50">
        <v>6.94</v>
      </c>
      <c r="AB901" s="50"/>
      <c r="AC901" s="50"/>
      <c r="AD901" s="50"/>
      <c r="AE901" s="50"/>
      <c r="AF901" s="50"/>
      <c r="AG901" s="50"/>
      <c r="AH901" s="50"/>
      <c r="AI901" s="50"/>
      <c r="AJ901" s="50"/>
    </row>
    <row r="902" spans="1:36" ht="15" customHeight="1" x14ac:dyDescent="0.25">
      <c r="A902" s="50">
        <v>181</v>
      </c>
      <c r="B902" s="50" t="s">
        <v>926</v>
      </c>
      <c r="C902" s="50" t="s">
        <v>1357</v>
      </c>
      <c r="D902" s="50">
        <v>35</v>
      </c>
      <c r="E902" s="50" t="s">
        <v>1355</v>
      </c>
      <c r="F902" s="50">
        <v>0</v>
      </c>
      <c r="G902" s="50">
        <v>7.7</v>
      </c>
      <c r="H902" s="50">
        <v>46</v>
      </c>
      <c r="I902" s="50">
        <v>2.9</v>
      </c>
      <c r="J902" s="50">
        <v>112</v>
      </c>
      <c r="K902" s="50">
        <v>100</v>
      </c>
      <c r="L902" s="50">
        <v>6.4</v>
      </c>
      <c r="M902" s="50">
        <v>6.49</v>
      </c>
      <c r="N902" s="50">
        <v>56</v>
      </c>
      <c r="O902" s="50">
        <v>13.4</v>
      </c>
      <c r="P902" s="50">
        <v>13.3</v>
      </c>
      <c r="Q902" s="50">
        <v>50.4</v>
      </c>
      <c r="R902" s="50">
        <v>24</v>
      </c>
      <c r="S902" s="50">
        <v>28.8</v>
      </c>
      <c r="T902" s="50">
        <v>41</v>
      </c>
      <c r="U902" s="50">
        <v>12.38</v>
      </c>
      <c r="V902" s="50">
        <v>53.6</v>
      </c>
      <c r="W902" s="50">
        <v>52</v>
      </c>
      <c r="X902" s="50">
        <v>393</v>
      </c>
      <c r="Y902" s="50">
        <v>15.2</v>
      </c>
      <c r="Z902" s="50">
        <v>27.6</v>
      </c>
      <c r="AA902" s="50">
        <v>3.91</v>
      </c>
      <c r="AB902" s="50"/>
      <c r="AC902" s="50"/>
      <c r="AD902" s="50"/>
      <c r="AE902" s="50"/>
      <c r="AF902" s="50"/>
      <c r="AG902" s="50"/>
      <c r="AH902" s="50"/>
      <c r="AI902" s="50"/>
      <c r="AJ902" s="50"/>
    </row>
    <row r="903" spans="1:36" ht="15" customHeight="1" x14ac:dyDescent="0.25">
      <c r="A903" s="50">
        <v>181</v>
      </c>
      <c r="B903" s="50" t="s">
        <v>926</v>
      </c>
      <c r="C903" s="50" t="s">
        <v>1357</v>
      </c>
      <c r="D903" s="50">
        <v>35</v>
      </c>
      <c r="E903" s="50" t="s">
        <v>1355</v>
      </c>
      <c r="F903" s="50">
        <v>4</v>
      </c>
      <c r="G903" s="50">
        <v>7.2</v>
      </c>
      <c r="H903" s="50">
        <v>47</v>
      </c>
      <c r="I903" s="50">
        <v>2.85</v>
      </c>
      <c r="J903" s="50">
        <v>115</v>
      </c>
      <c r="K903" s="50">
        <v>97</v>
      </c>
      <c r="L903" s="50">
        <v>6.2</v>
      </c>
      <c r="M903" s="50">
        <v>5.92</v>
      </c>
      <c r="N903" s="50">
        <v>55</v>
      </c>
      <c r="O903" s="50">
        <v>14.1</v>
      </c>
      <c r="P903" s="50">
        <v>13.4</v>
      </c>
      <c r="Q903" s="50">
        <v>47.5</v>
      </c>
      <c r="R903" s="50">
        <v>28.9</v>
      </c>
      <c r="S903" s="50">
        <v>30.1</v>
      </c>
      <c r="T903" s="50">
        <v>42</v>
      </c>
      <c r="U903" s="50">
        <v>12.42</v>
      </c>
      <c r="V903" s="50">
        <v>55.4</v>
      </c>
      <c r="W903" s="50">
        <v>52</v>
      </c>
      <c r="X903" s="50">
        <v>386</v>
      </c>
      <c r="Y903" s="50">
        <v>14.98</v>
      </c>
      <c r="Z903" s="50">
        <v>29.5</v>
      </c>
      <c r="AA903" s="50">
        <v>4.2300000000000004</v>
      </c>
      <c r="AB903" s="50"/>
      <c r="AC903" s="50"/>
      <c r="AD903" s="50"/>
      <c r="AE903" s="50"/>
      <c r="AF903" s="50"/>
      <c r="AG903" s="50"/>
      <c r="AH903" s="50"/>
      <c r="AI903" s="50"/>
      <c r="AJ903" s="50"/>
    </row>
    <row r="904" spans="1:36" ht="15" customHeight="1" x14ac:dyDescent="0.25">
      <c r="A904" s="50">
        <v>181</v>
      </c>
      <c r="B904" s="50" t="s">
        <v>926</v>
      </c>
      <c r="C904" s="50" t="s">
        <v>1357</v>
      </c>
      <c r="D904" s="50">
        <v>35</v>
      </c>
      <c r="E904" s="50" t="s">
        <v>1355</v>
      </c>
      <c r="F904" s="50">
        <v>8</v>
      </c>
      <c r="G904" s="50">
        <v>6.6</v>
      </c>
      <c r="H904" s="50">
        <v>45</v>
      </c>
      <c r="I904" s="50">
        <v>2.76</v>
      </c>
      <c r="J904" s="50">
        <v>115</v>
      </c>
      <c r="K904" s="50">
        <v>94</v>
      </c>
      <c r="L904" s="50">
        <v>5.48</v>
      </c>
      <c r="M904" s="50">
        <v>5.82</v>
      </c>
      <c r="N904" s="50">
        <v>53</v>
      </c>
      <c r="O904" s="50">
        <v>13.6</v>
      </c>
      <c r="P904" s="50">
        <v>12.3</v>
      </c>
      <c r="Q904" s="50">
        <v>44.4</v>
      </c>
      <c r="R904" s="50">
        <v>31.8</v>
      </c>
      <c r="S904" s="50">
        <v>28.8</v>
      </c>
      <c r="T904" s="50">
        <v>46</v>
      </c>
      <c r="U904" s="50">
        <v>12.13</v>
      </c>
      <c r="V904" s="50">
        <v>57.5</v>
      </c>
      <c r="W904" s="50">
        <v>57</v>
      </c>
      <c r="X904" s="50">
        <v>416</v>
      </c>
      <c r="Y904" s="50">
        <v>13.9</v>
      </c>
      <c r="Z904" s="50">
        <v>30.4</v>
      </c>
      <c r="AA904" s="50">
        <v>4.42</v>
      </c>
      <c r="AB904" s="50"/>
      <c r="AC904" s="50"/>
      <c r="AD904" s="50"/>
      <c r="AE904" s="50"/>
      <c r="AF904" s="50"/>
      <c r="AG904" s="50"/>
      <c r="AH904" s="50"/>
      <c r="AI904" s="50"/>
      <c r="AJ904" s="50"/>
    </row>
    <row r="905" spans="1:36" ht="15" customHeight="1" x14ac:dyDescent="0.25">
      <c r="A905" s="50">
        <v>181</v>
      </c>
      <c r="B905" s="50" t="s">
        <v>926</v>
      </c>
      <c r="C905" s="50" t="s">
        <v>1357</v>
      </c>
      <c r="D905" s="50">
        <v>35</v>
      </c>
      <c r="E905" s="50" t="s">
        <v>1355</v>
      </c>
      <c r="F905" s="50">
        <v>12</v>
      </c>
      <c r="G905" s="50">
        <v>6.2</v>
      </c>
      <c r="H905" s="50">
        <v>44</v>
      </c>
      <c r="I905" s="50">
        <v>2.7</v>
      </c>
      <c r="J905" s="50">
        <v>115</v>
      </c>
      <c r="K905" s="50">
        <v>91</v>
      </c>
      <c r="L905" s="50">
        <v>5.38</v>
      </c>
      <c r="M905" s="50">
        <v>5.58</v>
      </c>
      <c r="N905" s="50">
        <v>51</v>
      </c>
      <c r="O905" s="50">
        <v>10.7</v>
      </c>
      <c r="P905" s="50">
        <v>11.4</v>
      </c>
      <c r="Q905" s="50">
        <v>42.4</v>
      </c>
      <c r="R905" s="50">
        <v>37.5</v>
      </c>
      <c r="S905" s="50">
        <v>29.8</v>
      </c>
      <c r="T905" s="50">
        <v>46</v>
      </c>
      <c r="U905" s="50">
        <v>10.83</v>
      </c>
      <c r="V905" s="50">
        <v>59.3</v>
      </c>
      <c r="W905" s="50">
        <v>58</v>
      </c>
      <c r="X905" s="50">
        <v>421</v>
      </c>
      <c r="Y905" s="50">
        <v>14.03</v>
      </c>
      <c r="Z905" s="50">
        <v>32.200000000000003</v>
      </c>
      <c r="AA905" s="50">
        <v>4.76</v>
      </c>
      <c r="AB905" s="50"/>
      <c r="AC905" s="50"/>
      <c r="AD905" s="50"/>
      <c r="AE905" s="50"/>
      <c r="AF905" s="50"/>
      <c r="AG905" s="50"/>
      <c r="AH905" s="50"/>
      <c r="AI905" s="50"/>
      <c r="AJ905" s="50"/>
    </row>
    <row r="906" spans="1:36" ht="15" customHeight="1" x14ac:dyDescent="0.25">
      <c r="A906" s="50">
        <v>181</v>
      </c>
      <c r="B906" s="50" t="s">
        <v>926</v>
      </c>
      <c r="C906" s="50" t="s">
        <v>1357</v>
      </c>
      <c r="D906" s="50">
        <v>35</v>
      </c>
      <c r="E906" s="50" t="s">
        <v>1355</v>
      </c>
      <c r="F906" s="50">
        <v>21</v>
      </c>
      <c r="G906" s="50">
        <v>5.6</v>
      </c>
      <c r="H906" s="50">
        <v>42</v>
      </c>
      <c r="I906" s="50">
        <v>2.46</v>
      </c>
      <c r="J906" s="50">
        <v>124</v>
      </c>
      <c r="K906" s="50">
        <v>85</v>
      </c>
      <c r="L906" s="50">
        <v>5.18</v>
      </c>
      <c r="M906" s="50">
        <v>4.8499999999999996</v>
      </c>
      <c r="N906" s="50">
        <v>44</v>
      </c>
      <c r="O906" s="50">
        <v>11.6</v>
      </c>
      <c r="P906" s="50">
        <v>10.1</v>
      </c>
      <c r="Q906" s="50">
        <v>39.5</v>
      </c>
      <c r="R906" s="50">
        <v>40.200000000000003</v>
      </c>
      <c r="S906" s="50">
        <v>31.1</v>
      </c>
      <c r="T906" s="50">
        <v>49</v>
      </c>
      <c r="U906" s="50">
        <v>10.56</v>
      </c>
      <c r="V906" s="50">
        <v>60.5</v>
      </c>
      <c r="W906" s="50">
        <v>64</v>
      </c>
      <c r="X906" s="50">
        <v>410</v>
      </c>
      <c r="Y906" s="50">
        <v>12.54</v>
      </c>
      <c r="Z906" s="50">
        <v>33.700000000000003</v>
      </c>
      <c r="AA906" s="50">
        <v>4.82</v>
      </c>
      <c r="AB906" s="50"/>
      <c r="AC906" s="50"/>
      <c r="AD906" s="50"/>
      <c r="AE906" s="50"/>
      <c r="AF906" s="50"/>
      <c r="AG906" s="50"/>
      <c r="AH906" s="50"/>
      <c r="AI906" s="50"/>
      <c r="AJ906" s="50"/>
    </row>
    <row r="907" spans="1:36" ht="15" customHeight="1" x14ac:dyDescent="0.25">
      <c r="A907" s="50">
        <v>182</v>
      </c>
      <c r="B907" s="50" t="s">
        <v>926</v>
      </c>
      <c r="C907" s="50" t="s">
        <v>1357</v>
      </c>
      <c r="D907" s="50">
        <v>37</v>
      </c>
      <c r="E907" s="50" t="s">
        <v>1360</v>
      </c>
      <c r="F907" s="50">
        <v>0</v>
      </c>
      <c r="G907" s="50">
        <v>6.5</v>
      </c>
      <c r="H907" s="50">
        <v>48</v>
      </c>
      <c r="I907" s="50">
        <v>3.54</v>
      </c>
      <c r="J907" s="50">
        <v>120</v>
      </c>
      <c r="K907" s="50">
        <v>100</v>
      </c>
      <c r="L907" s="50">
        <v>6.78</v>
      </c>
      <c r="M907" s="50">
        <v>5.05</v>
      </c>
      <c r="N907" s="50">
        <v>39</v>
      </c>
      <c r="O907" s="50">
        <v>16.100000000000001</v>
      </c>
      <c r="P907" s="50">
        <v>9.6999999999999993</v>
      </c>
      <c r="Q907" s="50">
        <v>34.9</v>
      </c>
      <c r="R907" s="50">
        <v>30.7</v>
      </c>
      <c r="S907" s="50">
        <v>24.5</v>
      </c>
      <c r="T907" s="50">
        <v>37</v>
      </c>
      <c r="U907" s="50">
        <v>13.37</v>
      </c>
      <c r="V907" s="50">
        <v>66.400000000000006</v>
      </c>
      <c r="W907" s="50">
        <v>40</v>
      </c>
      <c r="X907" s="50">
        <v>305</v>
      </c>
      <c r="Y907" s="50">
        <v>15.38</v>
      </c>
      <c r="Z907" s="50">
        <v>23.9</v>
      </c>
      <c r="AA907" s="50">
        <v>4.53</v>
      </c>
      <c r="AB907" s="50"/>
      <c r="AC907" s="50"/>
      <c r="AD907" s="50"/>
      <c r="AE907" s="50"/>
      <c r="AF907" s="50"/>
      <c r="AG907" s="50"/>
      <c r="AH907" s="50"/>
      <c r="AI907" s="50"/>
      <c r="AJ907" s="50"/>
    </row>
    <row r="908" spans="1:36" ht="15" customHeight="1" x14ac:dyDescent="0.25">
      <c r="A908" s="50">
        <v>182</v>
      </c>
      <c r="B908" s="50" t="s">
        <v>926</v>
      </c>
      <c r="C908" s="50" t="s">
        <v>1357</v>
      </c>
      <c r="D908" s="50">
        <v>37</v>
      </c>
      <c r="E908" s="50" t="s">
        <v>1360</v>
      </c>
      <c r="F908" s="50">
        <v>4</v>
      </c>
      <c r="G908" s="50">
        <v>6.2</v>
      </c>
      <c r="H908" s="50">
        <v>45</v>
      </c>
      <c r="I908" s="50">
        <v>3.37</v>
      </c>
      <c r="J908" s="50">
        <v>125</v>
      </c>
      <c r="K908" s="50">
        <v>97</v>
      </c>
      <c r="L908" s="50">
        <v>6.55</v>
      </c>
      <c r="M908" s="50">
        <v>4.9400000000000004</v>
      </c>
      <c r="N908" s="50">
        <v>38</v>
      </c>
      <c r="O908" s="50">
        <v>15.6</v>
      </c>
      <c r="P908" s="50">
        <v>8.9</v>
      </c>
      <c r="Q908" s="50">
        <v>35</v>
      </c>
      <c r="R908" s="50">
        <v>33.700000000000003</v>
      </c>
      <c r="S908" s="50">
        <v>26</v>
      </c>
      <c r="T908" s="50">
        <v>36</v>
      </c>
      <c r="U908" s="50">
        <v>12.51</v>
      </c>
      <c r="V908" s="50">
        <v>66.2</v>
      </c>
      <c r="W908" s="50">
        <v>43</v>
      </c>
      <c r="X908" s="50">
        <v>318</v>
      </c>
      <c r="Y908" s="50">
        <v>15.62</v>
      </c>
      <c r="Z908" s="50">
        <v>26.7</v>
      </c>
      <c r="AA908" s="50">
        <v>4.83</v>
      </c>
      <c r="AB908" s="50"/>
      <c r="AC908" s="50"/>
      <c r="AD908" s="50"/>
      <c r="AE908" s="50"/>
      <c r="AF908" s="50"/>
      <c r="AG908" s="50"/>
      <c r="AH908" s="50"/>
      <c r="AI908" s="50"/>
      <c r="AJ908" s="50"/>
    </row>
    <row r="909" spans="1:36" ht="15" customHeight="1" x14ac:dyDescent="0.25">
      <c r="A909" s="50">
        <v>182</v>
      </c>
      <c r="B909" s="50" t="s">
        <v>926</v>
      </c>
      <c r="C909" s="50" t="s">
        <v>1357</v>
      </c>
      <c r="D909" s="50">
        <v>37</v>
      </c>
      <c r="E909" s="50" t="s">
        <v>1360</v>
      </c>
      <c r="F909" s="50">
        <v>8</v>
      </c>
      <c r="G909" s="50">
        <v>5.9</v>
      </c>
      <c r="H909" s="50">
        <v>45</v>
      </c>
      <c r="I909" s="50">
        <v>3.33</v>
      </c>
      <c r="J909" s="50">
        <v>125</v>
      </c>
      <c r="K909" s="50">
        <v>94</v>
      </c>
      <c r="L909" s="50">
        <v>5.98</v>
      </c>
      <c r="M909" s="50">
        <v>4.66</v>
      </c>
      <c r="N909" s="50">
        <v>38</v>
      </c>
      <c r="O909" s="50">
        <v>14.8</v>
      </c>
      <c r="P909" s="50">
        <v>9.1999999999999993</v>
      </c>
      <c r="Q909" s="50">
        <v>34.6</v>
      </c>
      <c r="R909" s="50">
        <v>36.4</v>
      </c>
      <c r="S909" s="50">
        <v>28.3</v>
      </c>
      <c r="T909" s="50">
        <v>39</v>
      </c>
      <c r="U909" s="50">
        <v>12.1</v>
      </c>
      <c r="V909" s="50">
        <v>66.2</v>
      </c>
      <c r="W909" s="50">
        <v>46</v>
      </c>
      <c r="X909" s="50">
        <v>345</v>
      </c>
      <c r="Y909" s="50">
        <v>15.23</v>
      </c>
      <c r="Z909" s="50">
        <v>27.6</v>
      </c>
      <c r="AA909" s="50">
        <v>5.07</v>
      </c>
      <c r="AB909" s="50"/>
      <c r="AC909" s="50"/>
      <c r="AD909" s="50"/>
      <c r="AE909" s="50"/>
      <c r="AF909" s="50"/>
      <c r="AG909" s="50"/>
      <c r="AH909" s="50"/>
      <c r="AI909" s="50"/>
      <c r="AJ909" s="50"/>
    </row>
    <row r="910" spans="1:36" ht="15" customHeight="1" x14ac:dyDescent="0.25">
      <c r="A910" s="50">
        <v>182</v>
      </c>
      <c r="B910" s="50" t="s">
        <v>926</v>
      </c>
      <c r="C910" s="50" t="s">
        <v>1357</v>
      </c>
      <c r="D910" s="50">
        <v>37</v>
      </c>
      <c r="E910" s="50" t="s">
        <v>1360</v>
      </c>
      <c r="F910" s="50">
        <v>12</v>
      </c>
      <c r="G910" s="50">
        <v>5.6</v>
      </c>
      <c r="H910" s="50">
        <v>43</v>
      </c>
      <c r="I910" s="50">
        <v>3.06</v>
      </c>
      <c r="J910" s="50">
        <v>128</v>
      </c>
      <c r="K910" s="50">
        <v>91</v>
      </c>
      <c r="L910" s="50">
        <v>5.72</v>
      </c>
      <c r="M910" s="50">
        <v>4.37</v>
      </c>
      <c r="N910" s="50">
        <v>35</v>
      </c>
      <c r="O910" s="50">
        <v>15.2</v>
      </c>
      <c r="P910" s="50">
        <v>8.3000000000000007</v>
      </c>
      <c r="Q910" s="50">
        <v>32.5</v>
      </c>
      <c r="R910" s="50">
        <v>37.700000000000003</v>
      </c>
      <c r="S910" s="50">
        <v>29.8</v>
      </c>
      <c r="T910" s="50">
        <v>44</v>
      </c>
      <c r="U910" s="50">
        <v>12.84</v>
      </c>
      <c r="V910" s="50">
        <v>64.8</v>
      </c>
      <c r="W910" s="50">
        <v>45</v>
      </c>
      <c r="X910" s="50">
        <v>350</v>
      </c>
      <c r="Y910" s="50">
        <v>14.73</v>
      </c>
      <c r="Z910" s="50">
        <v>27.7</v>
      </c>
      <c r="AA910" s="50">
        <v>4.7300000000000004</v>
      </c>
      <c r="AB910" s="50"/>
      <c r="AC910" s="50"/>
      <c r="AD910" s="50"/>
      <c r="AE910" s="50"/>
      <c r="AF910" s="50"/>
      <c r="AG910" s="50"/>
      <c r="AH910" s="50"/>
      <c r="AI910" s="50"/>
      <c r="AJ910" s="50"/>
    </row>
    <row r="911" spans="1:36" ht="15" customHeight="1" x14ac:dyDescent="0.25">
      <c r="A911" s="50">
        <v>182</v>
      </c>
      <c r="B911" s="50" t="s">
        <v>926</v>
      </c>
      <c r="C911" s="50" t="s">
        <v>1357</v>
      </c>
      <c r="D911" s="50">
        <v>37</v>
      </c>
      <c r="E911" s="50" t="s">
        <v>1360</v>
      </c>
      <c r="F911" s="50">
        <v>21</v>
      </c>
      <c r="G911" s="50">
        <v>4.7</v>
      </c>
      <c r="H911" s="50">
        <v>41</v>
      </c>
      <c r="I911" s="50">
        <v>3.09</v>
      </c>
      <c r="J911" s="50">
        <v>136</v>
      </c>
      <c r="K911" s="50">
        <v>85</v>
      </c>
      <c r="L911" s="50">
        <v>4.99</v>
      </c>
      <c r="M911" s="50">
        <v>4.1500000000000004</v>
      </c>
      <c r="N911" s="50">
        <v>34</v>
      </c>
      <c r="O911" s="50">
        <v>12.7</v>
      </c>
      <c r="P911" s="50">
        <v>8.5</v>
      </c>
      <c r="Q911" s="50">
        <v>27.5</v>
      </c>
      <c r="R911" s="50">
        <v>46.4</v>
      </c>
      <c r="S911" s="50">
        <v>29.8</v>
      </c>
      <c r="T911" s="50">
        <v>50</v>
      </c>
      <c r="U911" s="50">
        <v>10.34</v>
      </c>
      <c r="V911" s="50">
        <v>66.5</v>
      </c>
      <c r="W911" s="50">
        <v>55</v>
      </c>
      <c r="X911" s="50">
        <v>389</v>
      </c>
      <c r="Y911" s="50">
        <v>12.75</v>
      </c>
      <c r="Z911" s="50">
        <v>30.8</v>
      </c>
      <c r="AA911" s="50">
        <v>4.91</v>
      </c>
      <c r="AB911" s="50"/>
      <c r="AC911" s="50"/>
      <c r="AD911" s="50"/>
      <c r="AE911" s="50"/>
      <c r="AF911" s="50"/>
      <c r="AG911" s="50"/>
      <c r="AH911" s="50"/>
      <c r="AI911" s="50"/>
      <c r="AJ911" s="50"/>
    </row>
    <row r="912" spans="1:36" ht="15" customHeight="1" x14ac:dyDescent="0.25">
      <c r="A912" s="50">
        <v>183</v>
      </c>
      <c r="B912" s="50" t="s">
        <v>926</v>
      </c>
      <c r="C912" s="50" t="s">
        <v>1352</v>
      </c>
      <c r="D912" s="50">
        <v>48</v>
      </c>
      <c r="E912" s="50" t="s">
        <v>1353</v>
      </c>
      <c r="F912" s="50">
        <v>0</v>
      </c>
      <c r="G912" s="50">
        <v>6.8</v>
      </c>
      <c r="H912" s="50">
        <v>45</v>
      </c>
      <c r="I912" s="50">
        <v>3.53</v>
      </c>
      <c r="J912" s="50">
        <v>86</v>
      </c>
      <c r="K912" s="50">
        <v>100</v>
      </c>
      <c r="L912" s="50">
        <v>6.66</v>
      </c>
      <c r="M912" s="50">
        <v>6.58</v>
      </c>
      <c r="N912" s="50">
        <v>41</v>
      </c>
      <c r="O912" s="50">
        <v>15.5</v>
      </c>
      <c r="P912" s="50">
        <v>10.4</v>
      </c>
      <c r="Q912" s="50">
        <v>50.7</v>
      </c>
      <c r="R912" s="50">
        <v>28.5</v>
      </c>
      <c r="S912" s="50">
        <v>14.4</v>
      </c>
      <c r="T912" s="50">
        <v>44</v>
      </c>
      <c r="U912" s="50">
        <v>6.39</v>
      </c>
      <c r="V912" s="50">
        <v>57.9</v>
      </c>
      <c r="W912" s="50">
        <v>48</v>
      </c>
      <c r="X912" s="50">
        <v>277</v>
      </c>
      <c r="Y912" s="50">
        <v>18.8</v>
      </c>
      <c r="Z912" s="50">
        <v>26.6</v>
      </c>
      <c r="AA912" s="50">
        <v>4.8499999999999996</v>
      </c>
      <c r="AB912" s="50"/>
      <c r="AC912" s="50"/>
      <c r="AD912" s="50"/>
      <c r="AE912" s="50"/>
      <c r="AF912" s="50"/>
      <c r="AG912" s="50"/>
      <c r="AH912" s="50"/>
      <c r="AI912" s="50"/>
      <c r="AJ912" s="50"/>
    </row>
    <row r="913" spans="1:36" ht="15" customHeight="1" x14ac:dyDescent="0.25">
      <c r="A913" s="50">
        <v>183</v>
      </c>
      <c r="B913" s="50" t="s">
        <v>926</v>
      </c>
      <c r="C913" s="50" t="s">
        <v>1352</v>
      </c>
      <c r="D913" s="50">
        <v>48</v>
      </c>
      <c r="E913" s="50" t="s">
        <v>1353</v>
      </c>
      <c r="F913" s="50">
        <v>4</v>
      </c>
      <c r="G913" s="50">
        <v>6.5</v>
      </c>
      <c r="H913" s="50">
        <v>43</v>
      </c>
      <c r="I913" s="50">
        <v>3.38</v>
      </c>
      <c r="J913" s="50">
        <v>90</v>
      </c>
      <c r="K913" s="50">
        <v>97</v>
      </c>
      <c r="L913" s="50">
        <v>6.25</v>
      </c>
      <c r="M913" s="50">
        <v>6.3</v>
      </c>
      <c r="N913" s="50">
        <v>42</v>
      </c>
      <c r="O913" s="50">
        <v>14.9</v>
      </c>
      <c r="P913" s="50">
        <v>9.3000000000000007</v>
      </c>
      <c r="Q913" s="50">
        <v>47.6</v>
      </c>
      <c r="R913" s="50">
        <v>31.7</v>
      </c>
      <c r="S913" s="50">
        <v>17.399999999999999</v>
      </c>
      <c r="T913" s="50">
        <v>44</v>
      </c>
      <c r="U913" s="50">
        <v>7.45</v>
      </c>
      <c r="V913" s="50">
        <v>57.5</v>
      </c>
      <c r="W913" s="50">
        <v>48</v>
      </c>
      <c r="X913" s="50">
        <v>292</v>
      </c>
      <c r="Y913" s="50">
        <v>18.36</v>
      </c>
      <c r="Z913" s="50">
        <v>26</v>
      </c>
      <c r="AA913" s="50">
        <v>4.68</v>
      </c>
      <c r="AB913" s="50"/>
      <c r="AC913" s="50"/>
      <c r="AD913" s="50"/>
      <c r="AE913" s="50"/>
      <c r="AF913" s="50"/>
      <c r="AG913" s="50"/>
      <c r="AH913" s="50"/>
      <c r="AI913" s="50"/>
      <c r="AJ913" s="50"/>
    </row>
    <row r="914" spans="1:36" ht="15" customHeight="1" x14ac:dyDescent="0.25">
      <c r="A914" s="50">
        <v>183</v>
      </c>
      <c r="B914" s="50" t="s">
        <v>926</v>
      </c>
      <c r="C914" s="50" t="s">
        <v>1352</v>
      </c>
      <c r="D914" s="50">
        <v>48</v>
      </c>
      <c r="E914" s="50" t="s">
        <v>1353</v>
      </c>
      <c r="F914" s="50">
        <v>8</v>
      </c>
      <c r="G914" s="50">
        <v>6.2</v>
      </c>
      <c r="H914" s="50">
        <v>42</v>
      </c>
      <c r="I914" s="50">
        <v>3.25</v>
      </c>
      <c r="J914" s="50">
        <v>89</v>
      </c>
      <c r="K914" s="50">
        <v>94</v>
      </c>
      <c r="L914" s="50">
        <v>6.16</v>
      </c>
      <c r="M914" s="50">
        <v>6.24</v>
      </c>
      <c r="N914" s="50">
        <v>41</v>
      </c>
      <c r="O914" s="50">
        <v>14.1</v>
      </c>
      <c r="P914" s="50">
        <v>10.3</v>
      </c>
      <c r="Q914" s="50">
        <v>47.6</v>
      </c>
      <c r="R914" s="50">
        <v>33.5</v>
      </c>
      <c r="S914" s="50">
        <v>17.5</v>
      </c>
      <c r="T914" s="50">
        <v>46</v>
      </c>
      <c r="U914" s="50">
        <v>6.24</v>
      </c>
      <c r="V914" s="50">
        <v>58.9</v>
      </c>
      <c r="W914" s="50">
        <v>53</v>
      </c>
      <c r="X914" s="50">
        <v>314</v>
      </c>
      <c r="Y914" s="50">
        <v>17.7</v>
      </c>
      <c r="Z914" s="50">
        <v>27.9</v>
      </c>
      <c r="AA914" s="50">
        <v>4.99</v>
      </c>
      <c r="AB914" s="50"/>
      <c r="AC914" s="50"/>
      <c r="AD914" s="50"/>
      <c r="AE914" s="50"/>
      <c r="AF914" s="50"/>
      <c r="AG914" s="50"/>
      <c r="AH914" s="50"/>
      <c r="AI914" s="50"/>
      <c r="AJ914" s="50"/>
    </row>
    <row r="915" spans="1:36" ht="15" customHeight="1" x14ac:dyDescent="0.25">
      <c r="A915" s="50">
        <v>183</v>
      </c>
      <c r="B915" s="50" t="s">
        <v>926</v>
      </c>
      <c r="C915" s="50" t="s">
        <v>1352</v>
      </c>
      <c r="D915" s="50">
        <v>48</v>
      </c>
      <c r="E915" s="50" t="s">
        <v>1353</v>
      </c>
      <c r="F915" s="50">
        <v>12</v>
      </c>
      <c r="G915" s="50">
        <v>5.8</v>
      </c>
      <c r="H915" s="50">
        <v>43</v>
      </c>
      <c r="I915" s="50">
        <v>3.23</v>
      </c>
      <c r="J915" s="50">
        <v>91</v>
      </c>
      <c r="K915" s="50">
        <v>91</v>
      </c>
      <c r="L915" s="50">
        <v>5.79</v>
      </c>
      <c r="M915" s="50">
        <v>5.76</v>
      </c>
      <c r="N915" s="50">
        <v>40</v>
      </c>
      <c r="O915" s="50">
        <v>12.4</v>
      </c>
      <c r="P915" s="50">
        <v>9.4</v>
      </c>
      <c r="Q915" s="50">
        <v>47.5</v>
      </c>
      <c r="R915" s="50">
        <v>35.4</v>
      </c>
      <c r="S915" s="50">
        <v>17.600000000000001</v>
      </c>
      <c r="T915" s="50">
        <v>48</v>
      </c>
      <c r="U915" s="50">
        <v>6.78</v>
      </c>
      <c r="V915" s="50">
        <v>59.3</v>
      </c>
      <c r="W915" s="50">
        <v>53</v>
      </c>
      <c r="X915" s="50">
        <v>324</v>
      </c>
      <c r="Y915" s="50">
        <v>16.91</v>
      </c>
      <c r="Z915" s="50">
        <v>28.4</v>
      </c>
      <c r="AA915" s="50">
        <v>4.6500000000000004</v>
      </c>
      <c r="AB915" s="50"/>
      <c r="AC915" s="50"/>
      <c r="AD915" s="50"/>
      <c r="AE915" s="50"/>
      <c r="AF915" s="50"/>
      <c r="AG915" s="50"/>
      <c r="AH915" s="50"/>
      <c r="AI915" s="50"/>
      <c r="AJ915" s="50"/>
    </row>
    <row r="916" spans="1:36" ht="15" customHeight="1" x14ac:dyDescent="0.25">
      <c r="A916" s="50">
        <v>183</v>
      </c>
      <c r="B916" s="50" t="s">
        <v>926</v>
      </c>
      <c r="C916" s="50" t="s">
        <v>1352</v>
      </c>
      <c r="D916" s="50">
        <v>48</v>
      </c>
      <c r="E916" s="50" t="s">
        <v>1353</v>
      </c>
      <c r="F916" s="50">
        <v>21</v>
      </c>
      <c r="G916" s="50">
        <v>5.0999999999999996</v>
      </c>
      <c r="H916" s="50">
        <v>40</v>
      </c>
      <c r="I916" s="50">
        <v>2.94</v>
      </c>
      <c r="J916" s="50">
        <v>94</v>
      </c>
      <c r="K916" s="50">
        <v>85</v>
      </c>
      <c r="L916" s="50">
        <v>5.37</v>
      </c>
      <c r="M916" s="50">
        <v>5.29</v>
      </c>
      <c r="N916" s="50">
        <v>37</v>
      </c>
      <c r="O916" s="50">
        <v>12.1</v>
      </c>
      <c r="P916" s="50">
        <v>8.6999999999999993</v>
      </c>
      <c r="Q916" s="50">
        <v>43.5</v>
      </c>
      <c r="R916" s="50">
        <v>39.200000000000003</v>
      </c>
      <c r="S916" s="50">
        <v>23.2</v>
      </c>
      <c r="T916" s="50">
        <v>55</v>
      </c>
      <c r="U916" s="50">
        <v>6.78</v>
      </c>
      <c r="V916" s="50">
        <v>60.5</v>
      </c>
      <c r="W916" s="50">
        <v>55</v>
      </c>
      <c r="X916" s="50">
        <v>365</v>
      </c>
      <c r="Y916" s="50">
        <v>15.99</v>
      </c>
      <c r="Z916" s="50">
        <v>31.2</v>
      </c>
      <c r="AA916" s="50">
        <v>5.1100000000000003</v>
      </c>
      <c r="AB916" s="50"/>
      <c r="AC916" s="50"/>
      <c r="AD916" s="50"/>
      <c r="AE916" s="50"/>
      <c r="AF916" s="50"/>
      <c r="AG916" s="50"/>
      <c r="AH916" s="50"/>
      <c r="AI916" s="50"/>
      <c r="AJ916" s="50"/>
    </row>
    <row r="917" spans="1:36" ht="15" customHeight="1" x14ac:dyDescent="0.25">
      <c r="A917" s="50">
        <v>184</v>
      </c>
      <c r="B917" s="50" t="s">
        <v>926</v>
      </c>
      <c r="C917" s="50" t="s">
        <v>1352</v>
      </c>
      <c r="D917" s="50">
        <v>26</v>
      </c>
      <c r="E917" s="50" t="s">
        <v>1355</v>
      </c>
      <c r="F917" s="50">
        <v>0</v>
      </c>
      <c r="G917" s="50">
        <v>6.9</v>
      </c>
      <c r="H917" s="50">
        <v>56</v>
      </c>
      <c r="I917" s="50">
        <v>2.87</v>
      </c>
      <c r="J917" s="50">
        <v>58</v>
      </c>
      <c r="K917" s="50">
        <v>100</v>
      </c>
      <c r="L917" s="50">
        <v>6.92</v>
      </c>
      <c r="M917" s="50">
        <v>7.09</v>
      </c>
      <c r="N917" s="50">
        <v>55</v>
      </c>
      <c r="O917" s="50">
        <v>14</v>
      </c>
      <c r="P917" s="50">
        <v>11.8</v>
      </c>
      <c r="Q917" s="50">
        <v>51</v>
      </c>
      <c r="R917" s="50">
        <v>37.299999999999997</v>
      </c>
      <c r="S917" s="50">
        <v>13.6</v>
      </c>
      <c r="T917" s="50">
        <v>36</v>
      </c>
      <c r="U917" s="50">
        <v>11.52</v>
      </c>
      <c r="V917" s="50">
        <v>62.2</v>
      </c>
      <c r="W917" s="50">
        <v>29</v>
      </c>
      <c r="X917" s="50">
        <v>347</v>
      </c>
      <c r="Y917" s="50">
        <v>9.0500000000000007</v>
      </c>
      <c r="Z917" s="50">
        <v>20.8</v>
      </c>
      <c r="AA917" s="50">
        <v>6.17</v>
      </c>
      <c r="AB917" s="50"/>
      <c r="AC917" s="50"/>
      <c r="AD917" s="50"/>
      <c r="AE917" s="50"/>
      <c r="AF917" s="50"/>
      <c r="AG917" s="50"/>
      <c r="AH917" s="50"/>
      <c r="AI917" s="50"/>
      <c r="AJ917" s="50"/>
    </row>
    <row r="918" spans="1:36" ht="15" customHeight="1" x14ac:dyDescent="0.25">
      <c r="A918" s="50">
        <v>184</v>
      </c>
      <c r="B918" s="50" t="s">
        <v>926</v>
      </c>
      <c r="C918" s="50" t="s">
        <v>1352</v>
      </c>
      <c r="D918" s="50">
        <v>26</v>
      </c>
      <c r="E918" s="50" t="s">
        <v>1355</v>
      </c>
      <c r="F918" s="50">
        <v>4</v>
      </c>
      <c r="G918" s="50">
        <v>7</v>
      </c>
      <c r="H918" s="50">
        <v>55</v>
      </c>
      <c r="I918" s="50">
        <v>2.9</v>
      </c>
      <c r="J918" s="50">
        <v>61</v>
      </c>
      <c r="K918" s="50">
        <v>97</v>
      </c>
      <c r="L918" s="50">
        <v>6.83</v>
      </c>
      <c r="M918" s="50">
        <v>7.28</v>
      </c>
      <c r="N918" s="50">
        <v>55</v>
      </c>
      <c r="O918" s="50">
        <v>14.8</v>
      </c>
      <c r="P918" s="50">
        <v>11.9</v>
      </c>
      <c r="Q918" s="50">
        <v>47.6</v>
      </c>
      <c r="R918" s="50">
        <v>34.9</v>
      </c>
      <c r="S918" s="50">
        <v>13.2</v>
      </c>
      <c r="T918" s="50">
        <v>39</v>
      </c>
      <c r="U918" s="50">
        <v>11.24</v>
      </c>
      <c r="V918" s="50">
        <v>63.3</v>
      </c>
      <c r="W918" s="50">
        <v>26</v>
      </c>
      <c r="X918" s="50">
        <v>339</v>
      </c>
      <c r="Y918" s="50">
        <v>9.26</v>
      </c>
      <c r="Z918" s="50">
        <v>19.8</v>
      </c>
      <c r="AA918" s="50">
        <v>6.26</v>
      </c>
      <c r="AB918" s="50"/>
      <c r="AC918" s="50"/>
      <c r="AD918" s="50"/>
      <c r="AE918" s="50"/>
      <c r="AF918" s="50"/>
      <c r="AG918" s="50"/>
      <c r="AH918" s="50"/>
      <c r="AI918" s="50"/>
      <c r="AJ918" s="50"/>
    </row>
    <row r="919" spans="1:36" ht="15" customHeight="1" x14ac:dyDescent="0.25">
      <c r="A919" s="50">
        <v>184</v>
      </c>
      <c r="B919" s="50" t="s">
        <v>926</v>
      </c>
      <c r="C919" s="50" t="s">
        <v>1352</v>
      </c>
      <c r="D919" s="50">
        <v>26</v>
      </c>
      <c r="E919" s="50" t="s">
        <v>1355</v>
      </c>
      <c r="F919" s="50">
        <v>8</v>
      </c>
      <c r="G919" s="50">
        <v>5.9</v>
      </c>
      <c r="H919" s="50">
        <v>54</v>
      </c>
      <c r="I919" s="50">
        <v>2.77</v>
      </c>
      <c r="J919" s="50">
        <v>63</v>
      </c>
      <c r="K919" s="50">
        <v>94</v>
      </c>
      <c r="L919" s="50">
        <v>5.88</v>
      </c>
      <c r="M919" s="50">
        <v>6</v>
      </c>
      <c r="N919" s="50">
        <v>50</v>
      </c>
      <c r="O919" s="50">
        <v>12.3</v>
      </c>
      <c r="P919" s="50">
        <v>11.7</v>
      </c>
      <c r="Q919" s="50">
        <v>42</v>
      </c>
      <c r="R919" s="50">
        <v>43.2</v>
      </c>
      <c r="S919" s="50">
        <v>17.7</v>
      </c>
      <c r="T919" s="50">
        <v>38</v>
      </c>
      <c r="U919" s="50">
        <v>11.58</v>
      </c>
      <c r="V919" s="50">
        <v>63.3</v>
      </c>
      <c r="W919" s="50">
        <v>38</v>
      </c>
      <c r="X919" s="50">
        <v>378</v>
      </c>
      <c r="Y919" s="50">
        <v>8.9600000000000009</v>
      </c>
      <c r="Z919" s="50">
        <v>23</v>
      </c>
      <c r="AA919" s="50">
        <v>6.16</v>
      </c>
      <c r="AB919" s="50"/>
      <c r="AC919" s="50"/>
      <c r="AD919" s="50"/>
      <c r="AE919" s="50"/>
      <c r="AF919" s="50"/>
      <c r="AG919" s="50"/>
      <c r="AH919" s="50"/>
      <c r="AI919" s="50"/>
      <c r="AJ919" s="50"/>
    </row>
    <row r="920" spans="1:36" ht="15" customHeight="1" x14ac:dyDescent="0.25">
      <c r="A920" s="50">
        <v>184</v>
      </c>
      <c r="B920" s="50" t="s">
        <v>926</v>
      </c>
      <c r="C920" s="50" t="s">
        <v>1352</v>
      </c>
      <c r="D920" s="50">
        <v>26</v>
      </c>
      <c r="E920" s="50" t="s">
        <v>1355</v>
      </c>
      <c r="F920" s="50">
        <v>12</v>
      </c>
      <c r="G920" s="50">
        <v>5.9</v>
      </c>
      <c r="H920" s="50">
        <v>53</v>
      </c>
      <c r="I920" s="50">
        <v>2.69</v>
      </c>
      <c r="J920" s="50">
        <v>63</v>
      </c>
      <c r="K920" s="50">
        <v>91</v>
      </c>
      <c r="L920" s="50">
        <v>5.74</v>
      </c>
      <c r="M920" s="50">
        <v>6.17</v>
      </c>
      <c r="N920" s="50">
        <v>49</v>
      </c>
      <c r="O920" s="50">
        <v>13</v>
      </c>
      <c r="P920" s="50">
        <v>11</v>
      </c>
      <c r="Q920" s="50">
        <v>45.3</v>
      </c>
      <c r="R920" s="50">
        <v>44.8</v>
      </c>
      <c r="S920" s="50">
        <v>20.399999999999999</v>
      </c>
      <c r="T920" s="50">
        <v>45</v>
      </c>
      <c r="U920" s="50">
        <v>10.31</v>
      </c>
      <c r="V920" s="50">
        <v>64.099999999999994</v>
      </c>
      <c r="W920" s="50">
        <v>39</v>
      </c>
      <c r="X920" s="50">
        <v>374</v>
      </c>
      <c r="Y920" s="50">
        <v>8.49</v>
      </c>
      <c r="Z920" s="50">
        <v>25</v>
      </c>
      <c r="AA920" s="50">
        <v>6.51</v>
      </c>
      <c r="AB920" s="50"/>
      <c r="AC920" s="50"/>
      <c r="AD920" s="50"/>
      <c r="AE920" s="50"/>
      <c r="AF920" s="50"/>
      <c r="AG920" s="50"/>
      <c r="AH920" s="50"/>
      <c r="AI920" s="50"/>
      <c r="AJ920" s="50"/>
    </row>
    <row r="921" spans="1:36" ht="15" customHeight="1" x14ac:dyDescent="0.25">
      <c r="A921" s="50">
        <v>184</v>
      </c>
      <c r="B921" s="50" t="s">
        <v>926</v>
      </c>
      <c r="C921" s="50" t="s">
        <v>1352</v>
      </c>
      <c r="D921" s="50">
        <v>26</v>
      </c>
      <c r="E921" s="50" t="s">
        <v>1355</v>
      </c>
      <c r="F921" s="50">
        <v>21</v>
      </c>
      <c r="G921" s="50">
        <v>5.2</v>
      </c>
      <c r="H921" s="50">
        <v>49</v>
      </c>
      <c r="I921" s="50">
        <v>2.4</v>
      </c>
      <c r="J921" s="50">
        <v>71</v>
      </c>
      <c r="K921" s="50">
        <v>85</v>
      </c>
      <c r="L921" s="50">
        <v>5.29</v>
      </c>
      <c r="M921" s="50">
        <v>5.26</v>
      </c>
      <c r="N921" s="50">
        <v>47</v>
      </c>
      <c r="O921" s="50">
        <v>12.4</v>
      </c>
      <c r="P921" s="50">
        <v>10.3</v>
      </c>
      <c r="Q921" s="50">
        <v>40.5</v>
      </c>
      <c r="R921" s="50">
        <v>49.3</v>
      </c>
      <c r="S921" s="50">
        <v>21.6</v>
      </c>
      <c r="T921" s="50">
        <v>45</v>
      </c>
      <c r="U921" s="50">
        <v>9.42</v>
      </c>
      <c r="V921" s="50">
        <v>64.2</v>
      </c>
      <c r="W921" s="50">
        <v>47</v>
      </c>
      <c r="X921" s="50">
        <v>382</v>
      </c>
      <c r="Y921" s="50">
        <v>9.01</v>
      </c>
      <c r="Z921" s="50">
        <v>27.5</v>
      </c>
      <c r="AA921" s="50">
        <v>6.02</v>
      </c>
      <c r="AB921" s="50"/>
      <c r="AC921" s="50"/>
      <c r="AD921" s="50"/>
      <c r="AE921" s="50"/>
      <c r="AF921" s="50"/>
      <c r="AG921" s="50"/>
      <c r="AH921" s="50"/>
      <c r="AI921" s="50"/>
      <c r="AJ921" s="50"/>
    </row>
    <row r="922" spans="1:36" ht="15" customHeight="1" x14ac:dyDescent="0.25">
      <c r="A922" s="50">
        <v>185</v>
      </c>
      <c r="B922" s="50" t="s">
        <v>926</v>
      </c>
      <c r="C922" s="50" t="s">
        <v>1352</v>
      </c>
      <c r="D922" s="50">
        <v>38</v>
      </c>
      <c r="E922" s="50" t="s">
        <v>1359</v>
      </c>
      <c r="F922" s="50">
        <v>0</v>
      </c>
      <c r="G922" s="50">
        <v>7</v>
      </c>
      <c r="H922" s="50">
        <v>46</v>
      </c>
      <c r="I922" s="50">
        <v>2.79</v>
      </c>
      <c r="J922" s="50">
        <v>109</v>
      </c>
      <c r="K922" s="50">
        <v>100</v>
      </c>
      <c r="L922" s="50">
        <v>6.63</v>
      </c>
      <c r="M922" s="50">
        <v>6.06</v>
      </c>
      <c r="N922" s="50">
        <v>47</v>
      </c>
      <c r="O922" s="50">
        <v>10.9</v>
      </c>
      <c r="P922" s="50">
        <v>11.7</v>
      </c>
      <c r="Q922" s="50">
        <v>60</v>
      </c>
      <c r="R922" s="50">
        <v>52.1</v>
      </c>
      <c r="S922" s="50">
        <v>18.2</v>
      </c>
      <c r="T922" s="50">
        <v>25</v>
      </c>
      <c r="U922" s="50">
        <v>11.99</v>
      </c>
      <c r="V922" s="50">
        <v>54.7</v>
      </c>
      <c r="W922" s="50">
        <v>49</v>
      </c>
      <c r="X922" s="50">
        <v>369</v>
      </c>
      <c r="Y922" s="50">
        <v>16.010000000000002</v>
      </c>
      <c r="Z922" s="50">
        <v>30.4</v>
      </c>
      <c r="AA922" s="50">
        <v>5.27</v>
      </c>
      <c r="AB922" s="50"/>
      <c r="AC922" s="50"/>
      <c r="AD922" s="50"/>
      <c r="AE922" s="50"/>
      <c r="AF922" s="50"/>
      <c r="AG922" s="50"/>
      <c r="AH922" s="50"/>
      <c r="AI922" s="50"/>
      <c r="AJ922" s="50"/>
    </row>
    <row r="923" spans="1:36" ht="15" customHeight="1" x14ac:dyDescent="0.25">
      <c r="A923" s="50">
        <v>185</v>
      </c>
      <c r="B923" s="50" t="s">
        <v>926</v>
      </c>
      <c r="C923" s="50" t="s">
        <v>1352</v>
      </c>
      <c r="D923" s="50">
        <v>38</v>
      </c>
      <c r="E923" s="50" t="s">
        <v>1359</v>
      </c>
      <c r="F923" s="50">
        <v>4</v>
      </c>
      <c r="G923" s="50">
        <v>6.5</v>
      </c>
      <c r="H923" s="50">
        <v>46</v>
      </c>
      <c r="I923" s="50">
        <v>2.69</v>
      </c>
      <c r="J923" s="50">
        <v>109</v>
      </c>
      <c r="K923" s="50">
        <v>97</v>
      </c>
      <c r="L923" s="50">
        <v>6.18</v>
      </c>
      <c r="M923" s="50">
        <v>5.64</v>
      </c>
      <c r="N923" s="50">
        <v>45</v>
      </c>
      <c r="O923" s="50">
        <v>10.1</v>
      </c>
      <c r="P923" s="50">
        <v>11.2</v>
      </c>
      <c r="Q923" s="50">
        <v>55.2</v>
      </c>
      <c r="R923" s="50">
        <v>49.8</v>
      </c>
      <c r="S923" s="50">
        <v>20.100000000000001</v>
      </c>
      <c r="T923" s="50">
        <v>28</v>
      </c>
      <c r="U923" s="50">
        <v>12.5</v>
      </c>
      <c r="V923" s="50">
        <v>55.9</v>
      </c>
      <c r="W923" s="50">
        <v>49</v>
      </c>
      <c r="X923" s="50">
        <v>352</v>
      </c>
      <c r="Y923" s="50">
        <v>15.1</v>
      </c>
      <c r="Z923" s="50">
        <v>31.3</v>
      </c>
      <c r="AA923" s="50">
        <v>5.63</v>
      </c>
      <c r="AB923" s="50"/>
      <c r="AC923" s="50"/>
      <c r="AD923" s="50"/>
      <c r="AE923" s="50"/>
      <c r="AF923" s="50"/>
      <c r="AG923" s="50"/>
      <c r="AH923" s="50"/>
      <c r="AI923" s="50"/>
      <c r="AJ923" s="50"/>
    </row>
    <row r="924" spans="1:36" ht="15" customHeight="1" x14ac:dyDescent="0.25">
      <c r="A924" s="50">
        <v>185</v>
      </c>
      <c r="B924" s="50" t="s">
        <v>926</v>
      </c>
      <c r="C924" s="50" t="s">
        <v>1352</v>
      </c>
      <c r="D924" s="50">
        <v>38</v>
      </c>
      <c r="E924" s="50" t="s">
        <v>1359</v>
      </c>
      <c r="F924" s="50">
        <v>8</v>
      </c>
      <c r="G924" s="50">
        <v>6.8</v>
      </c>
      <c r="H924" s="50">
        <v>45</v>
      </c>
      <c r="I924" s="50">
        <v>2.71</v>
      </c>
      <c r="J924" s="50">
        <v>114</v>
      </c>
      <c r="K924" s="50">
        <v>94</v>
      </c>
      <c r="L924" s="50">
        <v>6.5</v>
      </c>
      <c r="M924" s="50">
        <v>6.12</v>
      </c>
      <c r="N924" s="50">
        <v>48</v>
      </c>
      <c r="O924" s="50">
        <v>10.7</v>
      </c>
      <c r="P924" s="50">
        <v>11.8</v>
      </c>
      <c r="Q924" s="50">
        <v>60.9</v>
      </c>
      <c r="R924" s="50">
        <v>53.4</v>
      </c>
      <c r="S924" s="50">
        <v>18.7</v>
      </c>
      <c r="T924" s="50">
        <v>25</v>
      </c>
      <c r="U924" s="50">
        <v>11.76</v>
      </c>
      <c r="V924" s="50">
        <v>55</v>
      </c>
      <c r="W924" s="50">
        <v>50</v>
      </c>
      <c r="X924" s="50">
        <v>363</v>
      </c>
      <c r="Y924" s="50">
        <v>15.2</v>
      </c>
      <c r="Z924" s="50">
        <v>30.1</v>
      </c>
      <c r="AA924" s="50">
        <v>5.22</v>
      </c>
      <c r="AB924" s="50"/>
      <c r="AC924" s="50"/>
      <c r="AD924" s="50"/>
      <c r="AE924" s="50"/>
      <c r="AF924" s="50"/>
      <c r="AG924" s="50"/>
      <c r="AH924" s="50"/>
      <c r="AI924" s="50"/>
      <c r="AJ924" s="50"/>
    </row>
    <row r="925" spans="1:36" ht="15" customHeight="1" x14ac:dyDescent="0.25">
      <c r="A925" s="50">
        <v>185</v>
      </c>
      <c r="B925" s="50" t="s">
        <v>926</v>
      </c>
      <c r="C925" s="50" t="s">
        <v>1352</v>
      </c>
      <c r="D925" s="50">
        <v>38</v>
      </c>
      <c r="E925" s="50" t="s">
        <v>1359</v>
      </c>
      <c r="F925" s="50">
        <v>12</v>
      </c>
      <c r="G925" s="50">
        <v>6</v>
      </c>
      <c r="H925" s="50">
        <v>42</v>
      </c>
      <c r="I925" s="50">
        <v>2.56</v>
      </c>
      <c r="J925" s="50">
        <v>113</v>
      </c>
      <c r="K925" s="50">
        <v>91</v>
      </c>
      <c r="L925" s="50">
        <v>5.74</v>
      </c>
      <c r="M925" s="50">
        <v>5.3</v>
      </c>
      <c r="N925" s="50">
        <v>42</v>
      </c>
      <c r="O925" s="50">
        <v>9.3000000000000007</v>
      </c>
      <c r="P925" s="50">
        <v>11.5</v>
      </c>
      <c r="Q925" s="50">
        <v>53.1</v>
      </c>
      <c r="R925" s="50">
        <v>50.9</v>
      </c>
      <c r="S925" s="50">
        <v>23.1</v>
      </c>
      <c r="T925" s="50">
        <v>31</v>
      </c>
      <c r="U925" s="50">
        <v>11.69</v>
      </c>
      <c r="V925" s="50">
        <v>57.7</v>
      </c>
      <c r="W925" s="50">
        <v>53</v>
      </c>
      <c r="X925" s="50">
        <v>394</v>
      </c>
      <c r="Y925" s="50">
        <v>13.95</v>
      </c>
      <c r="Z925" s="50">
        <v>31.6</v>
      </c>
      <c r="AA925" s="50">
        <v>5.55</v>
      </c>
      <c r="AB925" s="50"/>
      <c r="AC925" s="50"/>
      <c r="AD925" s="50"/>
      <c r="AE925" s="50"/>
      <c r="AF925" s="50"/>
      <c r="AG925" s="50"/>
      <c r="AH925" s="50"/>
      <c r="AI925" s="50"/>
      <c r="AJ925" s="50"/>
    </row>
    <row r="926" spans="1:36" ht="15" customHeight="1" x14ac:dyDescent="0.25">
      <c r="A926" s="50">
        <v>185</v>
      </c>
      <c r="B926" s="50" t="s">
        <v>926</v>
      </c>
      <c r="C926" s="50" t="s">
        <v>1352</v>
      </c>
      <c r="D926" s="50">
        <v>38</v>
      </c>
      <c r="E926" s="50" t="s">
        <v>1359</v>
      </c>
      <c r="F926" s="50">
        <v>21</v>
      </c>
      <c r="G926" s="50">
        <v>5.0999999999999996</v>
      </c>
      <c r="H926" s="50">
        <v>39</v>
      </c>
      <c r="I926" s="50">
        <v>2.4</v>
      </c>
      <c r="J926" s="50">
        <v>122</v>
      </c>
      <c r="K926" s="50">
        <v>85</v>
      </c>
      <c r="L926" s="50">
        <v>5.04</v>
      </c>
      <c r="M926" s="50">
        <v>5.14</v>
      </c>
      <c r="N926" s="50">
        <v>40</v>
      </c>
      <c r="O926" s="50">
        <v>9.1</v>
      </c>
      <c r="P926" s="50">
        <v>11.2</v>
      </c>
      <c r="Q926" s="50">
        <v>45.9</v>
      </c>
      <c r="R926" s="50">
        <v>55.4</v>
      </c>
      <c r="S926" s="50">
        <v>26.6</v>
      </c>
      <c r="T926" s="50">
        <v>36</v>
      </c>
      <c r="U926" s="50">
        <v>9.6999999999999993</v>
      </c>
      <c r="V926" s="50">
        <v>62.9</v>
      </c>
      <c r="W926" s="50">
        <v>61</v>
      </c>
      <c r="X926" s="50">
        <v>406</v>
      </c>
      <c r="Y926" s="50">
        <v>12.59</v>
      </c>
      <c r="Z926" s="50">
        <v>32.799999999999997</v>
      </c>
      <c r="AA926" s="50">
        <v>6.22</v>
      </c>
      <c r="AB926" s="50"/>
      <c r="AC926" s="50"/>
      <c r="AD926" s="50"/>
      <c r="AE926" s="50"/>
      <c r="AF926" s="50"/>
      <c r="AG926" s="50"/>
      <c r="AH926" s="50"/>
      <c r="AI926" s="50"/>
      <c r="AJ926" s="50"/>
    </row>
    <row r="927" spans="1:36" ht="15" customHeight="1" x14ac:dyDescent="0.25">
      <c r="A927" s="50">
        <v>186</v>
      </c>
      <c r="B927" s="50" t="s">
        <v>926</v>
      </c>
      <c r="C927" s="50" t="s">
        <v>1352</v>
      </c>
      <c r="D927" s="50">
        <v>44</v>
      </c>
      <c r="E927" s="50" t="s">
        <v>1360</v>
      </c>
      <c r="F927" s="50">
        <v>0</v>
      </c>
      <c r="G927" s="50">
        <v>5.9</v>
      </c>
      <c r="H927" s="50">
        <v>49</v>
      </c>
      <c r="I927" s="50">
        <v>4</v>
      </c>
      <c r="J927" s="50">
        <v>116</v>
      </c>
      <c r="K927" s="50">
        <v>100</v>
      </c>
      <c r="L927" s="50">
        <v>5.97</v>
      </c>
      <c r="M927" s="50">
        <v>6.37</v>
      </c>
      <c r="N927" s="50">
        <v>47</v>
      </c>
      <c r="O927" s="50">
        <v>11.5</v>
      </c>
      <c r="P927" s="50">
        <v>12.2</v>
      </c>
      <c r="Q927" s="50">
        <v>39.799999999999997</v>
      </c>
      <c r="R927" s="50">
        <v>42.8</v>
      </c>
      <c r="S927" s="50">
        <v>21.6</v>
      </c>
      <c r="T927" s="50">
        <v>25</v>
      </c>
      <c r="U927" s="50">
        <v>11.07</v>
      </c>
      <c r="V927" s="50">
        <v>59.9</v>
      </c>
      <c r="W927" s="50">
        <v>48</v>
      </c>
      <c r="X927" s="50">
        <v>383</v>
      </c>
      <c r="Y927" s="50">
        <v>11.99</v>
      </c>
      <c r="Z927" s="50">
        <v>25.8</v>
      </c>
      <c r="AA927" s="50">
        <v>5.64</v>
      </c>
      <c r="AB927" s="50"/>
      <c r="AC927" s="50"/>
      <c r="AD927" s="50"/>
      <c r="AE927" s="50"/>
      <c r="AF927" s="50"/>
      <c r="AG927" s="50"/>
      <c r="AH927" s="50"/>
      <c r="AI927" s="50"/>
      <c r="AJ927" s="50"/>
    </row>
    <row r="928" spans="1:36" ht="15" customHeight="1" x14ac:dyDescent="0.25">
      <c r="A928" s="50">
        <v>186</v>
      </c>
      <c r="B928" s="50" t="s">
        <v>926</v>
      </c>
      <c r="C928" s="50" t="s">
        <v>1352</v>
      </c>
      <c r="D928" s="50">
        <v>44</v>
      </c>
      <c r="E928" s="50" t="s">
        <v>1360</v>
      </c>
      <c r="F928" s="50">
        <v>4</v>
      </c>
      <c r="G928" s="50">
        <v>5.6</v>
      </c>
      <c r="H928" s="50">
        <v>48</v>
      </c>
      <c r="I928" s="50">
        <v>3.84</v>
      </c>
      <c r="J928" s="50">
        <v>112</v>
      </c>
      <c r="K928" s="50">
        <v>97</v>
      </c>
      <c r="L928" s="50">
        <v>5.69</v>
      </c>
      <c r="M928" s="50">
        <v>6.18</v>
      </c>
      <c r="N928" s="50">
        <v>43</v>
      </c>
      <c r="O928" s="50">
        <v>11.5</v>
      </c>
      <c r="P928" s="50">
        <v>12.2</v>
      </c>
      <c r="Q928" s="50">
        <v>38.1</v>
      </c>
      <c r="R928" s="50">
        <v>43.9</v>
      </c>
      <c r="S928" s="50">
        <v>24.6</v>
      </c>
      <c r="T928" s="50">
        <v>29</v>
      </c>
      <c r="U928" s="50">
        <v>11.13</v>
      </c>
      <c r="V928" s="50">
        <v>59.5</v>
      </c>
      <c r="W928" s="50">
        <v>49</v>
      </c>
      <c r="X928" s="50">
        <v>384</v>
      </c>
      <c r="Y928" s="50">
        <v>11.85</v>
      </c>
      <c r="Z928" s="50">
        <v>27.6</v>
      </c>
      <c r="AA928" s="50">
        <v>5.97</v>
      </c>
      <c r="AB928" s="50"/>
      <c r="AC928" s="50"/>
      <c r="AD928" s="50"/>
      <c r="AE928" s="50"/>
      <c r="AF928" s="50"/>
      <c r="AG928" s="50"/>
      <c r="AH928" s="50"/>
      <c r="AI928" s="50"/>
      <c r="AJ928" s="50"/>
    </row>
    <row r="929" spans="1:36" ht="15" customHeight="1" x14ac:dyDescent="0.25">
      <c r="A929" s="50">
        <v>186</v>
      </c>
      <c r="B929" s="50" t="s">
        <v>926</v>
      </c>
      <c r="C929" s="50" t="s">
        <v>1352</v>
      </c>
      <c r="D929" s="50">
        <v>44</v>
      </c>
      <c r="E929" s="50" t="s">
        <v>1360</v>
      </c>
      <c r="F929" s="50">
        <v>8</v>
      </c>
      <c r="G929" s="50">
        <v>5.4</v>
      </c>
      <c r="H929" s="50">
        <v>49</v>
      </c>
      <c r="I929" s="50">
        <v>3.76</v>
      </c>
      <c r="J929" s="50">
        <v>115</v>
      </c>
      <c r="K929" s="50">
        <v>94</v>
      </c>
      <c r="L929" s="50">
        <v>5.29</v>
      </c>
      <c r="M929" s="50">
        <v>5.81</v>
      </c>
      <c r="N929" s="50">
        <v>46</v>
      </c>
      <c r="O929" s="50">
        <v>10.6</v>
      </c>
      <c r="P929" s="50">
        <v>11.5</v>
      </c>
      <c r="Q929" s="50">
        <v>39.1</v>
      </c>
      <c r="R929" s="50">
        <v>45.4</v>
      </c>
      <c r="S929" s="50">
        <v>25.2</v>
      </c>
      <c r="T929" s="50">
        <v>30</v>
      </c>
      <c r="U929" s="50">
        <v>11.83</v>
      </c>
      <c r="V929" s="50">
        <v>60.2</v>
      </c>
      <c r="W929" s="50">
        <v>47</v>
      </c>
      <c r="X929" s="50">
        <v>407</v>
      </c>
      <c r="Y929" s="50">
        <v>11.43</v>
      </c>
      <c r="Z929" s="50">
        <v>26.7</v>
      </c>
      <c r="AA929" s="50">
        <v>5.84</v>
      </c>
      <c r="AB929" s="50"/>
      <c r="AC929" s="50"/>
      <c r="AD929" s="50"/>
      <c r="AE929" s="50"/>
      <c r="AF929" s="50"/>
      <c r="AG929" s="50"/>
      <c r="AH929" s="50"/>
      <c r="AI929" s="50"/>
      <c r="AJ929" s="50"/>
    </row>
    <row r="930" spans="1:36" ht="15" customHeight="1" x14ac:dyDescent="0.25">
      <c r="A930" s="50">
        <v>186</v>
      </c>
      <c r="B930" s="50" t="s">
        <v>926</v>
      </c>
      <c r="C930" s="50" t="s">
        <v>1352</v>
      </c>
      <c r="D930" s="50">
        <v>44</v>
      </c>
      <c r="E930" s="50" t="s">
        <v>1360</v>
      </c>
      <c r="F930" s="50">
        <v>12</v>
      </c>
      <c r="G930" s="50">
        <v>5.0999999999999996</v>
      </c>
      <c r="H930" s="50">
        <v>47</v>
      </c>
      <c r="I930" s="50">
        <v>3.65</v>
      </c>
      <c r="J930" s="50">
        <v>122</v>
      </c>
      <c r="K930" s="50">
        <v>91</v>
      </c>
      <c r="L930" s="50">
        <v>5.07</v>
      </c>
      <c r="M930" s="50">
        <v>5.52</v>
      </c>
      <c r="N930" s="50">
        <v>43</v>
      </c>
      <c r="O930" s="50">
        <v>10.9</v>
      </c>
      <c r="P930" s="50">
        <v>11.2</v>
      </c>
      <c r="Q930" s="50">
        <v>36.9</v>
      </c>
      <c r="R930" s="50">
        <v>47.2</v>
      </c>
      <c r="S930" s="50">
        <v>25.8</v>
      </c>
      <c r="T930" s="50">
        <v>32</v>
      </c>
      <c r="U930" s="50">
        <v>10.38</v>
      </c>
      <c r="V930" s="50">
        <v>59.9</v>
      </c>
      <c r="W930" s="50">
        <v>53</v>
      </c>
      <c r="X930" s="50">
        <v>423</v>
      </c>
      <c r="Y930" s="50">
        <v>11.29</v>
      </c>
      <c r="Z930" s="50">
        <v>30.9</v>
      </c>
      <c r="AA930" s="50">
        <v>6.16</v>
      </c>
      <c r="AB930" s="50"/>
      <c r="AC930" s="50"/>
      <c r="AD930" s="50"/>
      <c r="AE930" s="50"/>
      <c r="AF930" s="50"/>
      <c r="AG930" s="50"/>
      <c r="AH930" s="50"/>
      <c r="AI930" s="50"/>
      <c r="AJ930" s="50"/>
    </row>
    <row r="931" spans="1:36" ht="15" customHeight="1" x14ac:dyDescent="0.25">
      <c r="A931" s="50">
        <v>186</v>
      </c>
      <c r="B931" s="50" t="s">
        <v>926</v>
      </c>
      <c r="C931" s="50" t="s">
        <v>1352</v>
      </c>
      <c r="D931" s="50">
        <v>44</v>
      </c>
      <c r="E931" s="50" t="s">
        <v>1360</v>
      </c>
      <c r="F931" s="50">
        <v>21</v>
      </c>
      <c r="G931" s="50">
        <v>4.3</v>
      </c>
      <c r="H931" s="50">
        <v>44</v>
      </c>
      <c r="I931" s="50">
        <v>3.41</v>
      </c>
      <c r="J931" s="50">
        <v>124</v>
      </c>
      <c r="K931" s="50">
        <v>85</v>
      </c>
      <c r="L931" s="50">
        <v>4.57</v>
      </c>
      <c r="M931" s="50">
        <v>4.76</v>
      </c>
      <c r="N931" s="50">
        <v>39</v>
      </c>
      <c r="O931" s="50">
        <v>10</v>
      </c>
      <c r="P931" s="50">
        <v>10</v>
      </c>
      <c r="Q931" s="50">
        <v>35.4</v>
      </c>
      <c r="R931" s="50">
        <v>53.3</v>
      </c>
      <c r="S931" s="50">
        <v>28.8</v>
      </c>
      <c r="T931" s="50">
        <v>37</v>
      </c>
      <c r="U931" s="50">
        <v>10.56</v>
      </c>
      <c r="V931" s="50">
        <v>63.9</v>
      </c>
      <c r="W931" s="50">
        <v>57</v>
      </c>
      <c r="X931" s="50">
        <v>433</v>
      </c>
      <c r="Y931" s="50">
        <v>11.87</v>
      </c>
      <c r="Z931" s="50">
        <v>33.1</v>
      </c>
      <c r="AA931" s="50">
        <v>6.52</v>
      </c>
      <c r="AB931" s="50"/>
      <c r="AC931" s="50"/>
      <c r="AD931" s="50"/>
      <c r="AE931" s="50"/>
      <c r="AF931" s="50"/>
      <c r="AG931" s="50"/>
      <c r="AH931" s="50"/>
      <c r="AI931" s="50"/>
      <c r="AJ931" s="50"/>
    </row>
    <row r="932" spans="1:36" ht="15" customHeight="1" x14ac:dyDescent="0.25">
      <c r="A932" s="50">
        <v>187</v>
      </c>
      <c r="B932" s="50" t="s">
        <v>926</v>
      </c>
      <c r="C932" s="50" t="s">
        <v>1352</v>
      </c>
      <c r="D932" s="50">
        <v>18</v>
      </c>
      <c r="E932" s="50" t="s">
        <v>1353</v>
      </c>
      <c r="F932" s="50">
        <v>0</v>
      </c>
      <c r="G932" s="50">
        <v>8.5</v>
      </c>
      <c r="H932" s="50">
        <v>37</v>
      </c>
      <c r="I932" s="50">
        <v>3.79</v>
      </c>
      <c r="J932" s="50">
        <v>99</v>
      </c>
      <c r="K932" s="50">
        <v>100</v>
      </c>
      <c r="L932" s="50">
        <v>6.59</v>
      </c>
      <c r="M932" s="50">
        <v>7.43</v>
      </c>
      <c r="N932" s="50">
        <v>43</v>
      </c>
      <c r="O932" s="50">
        <v>16.5</v>
      </c>
      <c r="P932" s="50">
        <v>12.1</v>
      </c>
      <c r="Q932" s="50">
        <v>49.2</v>
      </c>
      <c r="R932" s="50">
        <v>38</v>
      </c>
      <c r="S932" s="50">
        <v>15.4</v>
      </c>
      <c r="T932" s="50">
        <v>19</v>
      </c>
      <c r="U932" s="50">
        <v>10.130000000000001</v>
      </c>
      <c r="V932" s="50">
        <v>53.5</v>
      </c>
      <c r="W932" s="50">
        <v>42</v>
      </c>
      <c r="X932" s="50">
        <v>500</v>
      </c>
      <c r="Y932" s="50">
        <v>17.14</v>
      </c>
      <c r="Z932" s="50">
        <v>27.8</v>
      </c>
      <c r="AA932" s="50">
        <v>4.26</v>
      </c>
      <c r="AB932" s="50"/>
      <c r="AC932" s="50"/>
      <c r="AD932" s="50"/>
      <c r="AE932" s="50"/>
      <c r="AF932" s="50"/>
      <c r="AG932" s="50"/>
      <c r="AH932" s="50"/>
      <c r="AI932" s="50"/>
      <c r="AJ932" s="50"/>
    </row>
    <row r="933" spans="1:36" ht="15" customHeight="1" x14ac:dyDescent="0.25">
      <c r="A933" s="50">
        <v>187</v>
      </c>
      <c r="B933" s="50" t="s">
        <v>926</v>
      </c>
      <c r="C933" s="50" t="s">
        <v>1352</v>
      </c>
      <c r="D933" s="50">
        <v>18</v>
      </c>
      <c r="E933" s="50" t="s">
        <v>1353</v>
      </c>
      <c r="F933" s="50">
        <v>4</v>
      </c>
      <c r="G933" s="50">
        <v>8.1</v>
      </c>
      <c r="H933" s="50">
        <v>38</v>
      </c>
      <c r="I933" s="50">
        <v>3.67</v>
      </c>
      <c r="J933" s="50">
        <v>101</v>
      </c>
      <c r="K933" s="50">
        <v>97</v>
      </c>
      <c r="L933" s="50">
        <v>6.35</v>
      </c>
      <c r="M933" s="50">
        <v>7.17</v>
      </c>
      <c r="N933" s="50">
        <v>41</v>
      </c>
      <c r="O933" s="50">
        <v>15.7</v>
      </c>
      <c r="P933" s="50">
        <v>11.4</v>
      </c>
      <c r="Q933" s="50">
        <v>47.3</v>
      </c>
      <c r="R933" s="50">
        <v>38.1</v>
      </c>
      <c r="S933" s="50">
        <v>16.7</v>
      </c>
      <c r="T933" s="50">
        <v>24</v>
      </c>
      <c r="U933" s="50">
        <v>11.99</v>
      </c>
      <c r="V933" s="50">
        <v>54.5</v>
      </c>
      <c r="W933" s="50">
        <v>43</v>
      </c>
      <c r="X933" s="50">
        <v>500</v>
      </c>
      <c r="Y933" s="50">
        <v>16.75</v>
      </c>
      <c r="Z933" s="50">
        <v>25.3</v>
      </c>
      <c r="AA933" s="50">
        <v>4.4000000000000004</v>
      </c>
      <c r="AB933" s="50"/>
      <c r="AC933" s="50"/>
      <c r="AD933" s="50"/>
      <c r="AE933" s="50"/>
      <c r="AF933" s="50"/>
      <c r="AG933" s="50"/>
      <c r="AH933" s="50"/>
      <c r="AI933" s="50"/>
      <c r="AJ933" s="50"/>
    </row>
    <row r="934" spans="1:36" ht="15" customHeight="1" x14ac:dyDescent="0.25">
      <c r="A934" s="50">
        <v>187</v>
      </c>
      <c r="B934" s="50" t="s">
        <v>926</v>
      </c>
      <c r="C934" s="50" t="s">
        <v>1352</v>
      </c>
      <c r="D934" s="50">
        <v>18</v>
      </c>
      <c r="E934" s="50" t="s">
        <v>1353</v>
      </c>
      <c r="F934" s="50">
        <v>8</v>
      </c>
      <c r="G934" s="50">
        <v>7.3</v>
      </c>
      <c r="H934" s="50">
        <v>36</v>
      </c>
      <c r="I934" s="50">
        <v>3.48</v>
      </c>
      <c r="J934" s="50">
        <v>100</v>
      </c>
      <c r="K934" s="50">
        <v>94</v>
      </c>
      <c r="L934" s="50">
        <v>5.78</v>
      </c>
      <c r="M934" s="50">
        <v>6.27</v>
      </c>
      <c r="N934" s="50">
        <v>42</v>
      </c>
      <c r="O934" s="50">
        <v>15.2</v>
      </c>
      <c r="P934" s="50">
        <v>10.7</v>
      </c>
      <c r="Q934" s="50">
        <v>47.3</v>
      </c>
      <c r="R934" s="50">
        <v>43.2</v>
      </c>
      <c r="S934" s="50">
        <v>16.399999999999999</v>
      </c>
      <c r="T934" s="50">
        <v>26</v>
      </c>
      <c r="U934" s="50">
        <v>9.8000000000000007</v>
      </c>
      <c r="V934" s="50">
        <v>55.1</v>
      </c>
      <c r="W934" s="50">
        <v>45</v>
      </c>
      <c r="X934" s="50">
        <v>520</v>
      </c>
      <c r="Y934" s="50">
        <v>15.29</v>
      </c>
      <c r="Z934" s="50">
        <v>29</v>
      </c>
      <c r="AA934" s="50">
        <v>4.57</v>
      </c>
      <c r="AB934" s="50"/>
      <c r="AC934" s="50"/>
      <c r="AD934" s="50"/>
      <c r="AE934" s="50"/>
      <c r="AF934" s="50"/>
      <c r="AG934" s="50"/>
      <c r="AH934" s="50"/>
      <c r="AI934" s="50"/>
      <c r="AJ934" s="50"/>
    </row>
    <row r="935" spans="1:36" ht="15" customHeight="1" x14ac:dyDescent="0.25">
      <c r="A935" s="50">
        <v>187</v>
      </c>
      <c r="B935" s="50" t="s">
        <v>926</v>
      </c>
      <c r="C935" s="50" t="s">
        <v>1352</v>
      </c>
      <c r="D935" s="50">
        <v>18</v>
      </c>
      <c r="E935" s="50" t="s">
        <v>1353</v>
      </c>
      <c r="F935" s="50">
        <v>12</v>
      </c>
      <c r="G935" s="50">
        <v>7.1</v>
      </c>
      <c r="H935" s="50">
        <v>33</v>
      </c>
      <c r="I935" s="50">
        <v>3.42</v>
      </c>
      <c r="J935" s="50">
        <v>103</v>
      </c>
      <c r="K935" s="50">
        <v>91</v>
      </c>
      <c r="L935" s="50">
        <v>5.8</v>
      </c>
      <c r="M935" s="50">
        <v>6.22</v>
      </c>
      <c r="N935" s="50">
        <v>36</v>
      </c>
      <c r="O935" s="50">
        <v>15.4</v>
      </c>
      <c r="P935" s="50">
        <v>10.8</v>
      </c>
      <c r="Q935" s="50">
        <v>44</v>
      </c>
      <c r="R935" s="50">
        <v>44.2</v>
      </c>
      <c r="S935" s="50">
        <v>18.899999999999999</v>
      </c>
      <c r="T935" s="50">
        <v>30</v>
      </c>
      <c r="U935" s="50">
        <v>9.4600000000000009</v>
      </c>
      <c r="V935" s="50">
        <v>56.1</v>
      </c>
      <c r="W935" s="50">
        <v>42</v>
      </c>
      <c r="X935" s="50">
        <v>504</v>
      </c>
      <c r="Y935" s="50">
        <v>16.010000000000002</v>
      </c>
      <c r="Z935" s="50">
        <v>29.6</v>
      </c>
      <c r="AA935" s="50">
        <v>4.3600000000000003</v>
      </c>
      <c r="AB935" s="50"/>
      <c r="AC935" s="50"/>
      <c r="AD935" s="50"/>
      <c r="AE935" s="50"/>
      <c r="AF935" s="50"/>
      <c r="AG935" s="50"/>
      <c r="AH935" s="50"/>
      <c r="AI935" s="50"/>
      <c r="AJ935" s="50"/>
    </row>
    <row r="936" spans="1:36" ht="15" customHeight="1" x14ac:dyDescent="0.25">
      <c r="A936" s="50">
        <v>187</v>
      </c>
      <c r="B936" s="50" t="s">
        <v>926</v>
      </c>
      <c r="C936" s="50" t="s">
        <v>1352</v>
      </c>
      <c r="D936" s="50">
        <v>18</v>
      </c>
      <c r="E936" s="50" t="s">
        <v>1353</v>
      </c>
      <c r="F936" s="50">
        <v>21</v>
      </c>
      <c r="G936" s="50">
        <v>6</v>
      </c>
      <c r="H936" s="50">
        <v>33</v>
      </c>
      <c r="I936" s="50">
        <v>3.25</v>
      </c>
      <c r="J936" s="50">
        <v>111</v>
      </c>
      <c r="K936" s="50">
        <v>85</v>
      </c>
      <c r="L936" s="50">
        <v>5.17</v>
      </c>
      <c r="M936" s="50">
        <v>5.47</v>
      </c>
      <c r="N936" s="50">
        <v>34</v>
      </c>
      <c r="O936" s="50">
        <v>13.2</v>
      </c>
      <c r="P936" s="50">
        <v>10.6</v>
      </c>
      <c r="Q936" s="50">
        <v>39.799999999999997</v>
      </c>
      <c r="R936" s="50">
        <v>48.5</v>
      </c>
      <c r="S936" s="50">
        <v>20.8</v>
      </c>
      <c r="T936" s="50">
        <v>41</v>
      </c>
      <c r="U936" s="50">
        <v>8.82</v>
      </c>
      <c r="V936" s="50">
        <v>56.2</v>
      </c>
      <c r="W936" s="50">
        <v>49</v>
      </c>
      <c r="X936" s="50">
        <v>515</v>
      </c>
      <c r="Y936" s="50">
        <v>14.53</v>
      </c>
      <c r="Z936" s="50">
        <v>31.6</v>
      </c>
      <c r="AA936" s="50">
        <v>5.36</v>
      </c>
      <c r="AB936" s="50"/>
      <c r="AC936" s="50"/>
      <c r="AD936" s="50"/>
      <c r="AE936" s="50"/>
      <c r="AF936" s="50"/>
      <c r="AG936" s="50"/>
      <c r="AH936" s="50"/>
      <c r="AI936" s="50"/>
      <c r="AJ936" s="50"/>
    </row>
    <row r="937" spans="1:36" ht="15" customHeight="1" x14ac:dyDescent="0.25">
      <c r="A937" s="50">
        <v>188</v>
      </c>
      <c r="B937" s="50" t="s">
        <v>926</v>
      </c>
      <c r="C937" s="50" t="s">
        <v>1352</v>
      </c>
      <c r="D937" s="50">
        <v>30</v>
      </c>
      <c r="E937" s="50" t="s">
        <v>1360</v>
      </c>
      <c r="F937" s="50">
        <v>0</v>
      </c>
      <c r="G937" s="50">
        <v>6.5</v>
      </c>
      <c r="H937" s="50">
        <v>54</v>
      </c>
      <c r="I937" s="50">
        <v>4.03</v>
      </c>
      <c r="J937" s="50">
        <v>113</v>
      </c>
      <c r="K937" s="50">
        <v>100</v>
      </c>
      <c r="L937" s="50">
        <v>7.53</v>
      </c>
      <c r="M937" s="50">
        <v>6.29</v>
      </c>
      <c r="N937" s="50">
        <v>45</v>
      </c>
      <c r="O937" s="50">
        <v>13.1</v>
      </c>
      <c r="P937" s="50">
        <v>9.6999999999999993</v>
      </c>
      <c r="Q937" s="50">
        <v>50.2</v>
      </c>
      <c r="R937" s="50">
        <v>34.700000000000003</v>
      </c>
      <c r="S937" s="50">
        <v>16.100000000000001</v>
      </c>
      <c r="T937" s="50">
        <v>56</v>
      </c>
      <c r="U937" s="50">
        <v>9.65</v>
      </c>
      <c r="V937" s="50">
        <v>60.1</v>
      </c>
      <c r="W937" s="50">
        <v>49</v>
      </c>
      <c r="X937" s="50">
        <v>419</v>
      </c>
      <c r="Y937" s="50">
        <v>14.43</v>
      </c>
      <c r="Z937" s="50">
        <v>34.4</v>
      </c>
      <c r="AA937" s="50">
        <v>3.65</v>
      </c>
      <c r="AB937" s="50"/>
      <c r="AC937" s="50"/>
      <c r="AD937" s="50"/>
      <c r="AE937" s="50"/>
      <c r="AF937" s="50"/>
      <c r="AG937" s="50"/>
      <c r="AH937" s="50"/>
      <c r="AI937" s="50"/>
      <c r="AJ937" s="50"/>
    </row>
    <row r="938" spans="1:36" ht="15" customHeight="1" x14ac:dyDescent="0.25">
      <c r="A938" s="50">
        <v>188</v>
      </c>
      <c r="B938" s="50" t="s">
        <v>926</v>
      </c>
      <c r="C938" s="50" t="s">
        <v>1352</v>
      </c>
      <c r="D938" s="50">
        <v>30</v>
      </c>
      <c r="E938" s="50" t="s">
        <v>1360</v>
      </c>
      <c r="F938" s="50">
        <v>4</v>
      </c>
      <c r="G938" s="50">
        <v>6.2</v>
      </c>
      <c r="H938" s="50">
        <v>55</v>
      </c>
      <c r="I938" s="50">
        <v>3.9</v>
      </c>
      <c r="J938" s="50">
        <v>117</v>
      </c>
      <c r="K938" s="50">
        <v>97</v>
      </c>
      <c r="L938" s="50">
        <v>7.1</v>
      </c>
      <c r="M938" s="50">
        <v>6.11</v>
      </c>
      <c r="N938" s="50">
        <v>44</v>
      </c>
      <c r="O938" s="50">
        <v>12.4</v>
      </c>
      <c r="P938" s="50">
        <v>10.5</v>
      </c>
      <c r="Q938" s="50">
        <v>49.3</v>
      </c>
      <c r="R938" s="50">
        <v>38.299999999999997</v>
      </c>
      <c r="S938" s="50">
        <v>16.600000000000001</v>
      </c>
      <c r="T938" s="50">
        <v>56</v>
      </c>
      <c r="U938" s="50">
        <v>10.199999999999999</v>
      </c>
      <c r="V938" s="50">
        <v>63.2</v>
      </c>
      <c r="W938" s="50">
        <v>51</v>
      </c>
      <c r="X938" s="50">
        <v>423</v>
      </c>
      <c r="Y938" s="50">
        <v>14.27</v>
      </c>
      <c r="Z938" s="50">
        <v>34.299999999999997</v>
      </c>
      <c r="AA938" s="50">
        <v>3.88</v>
      </c>
      <c r="AB938" s="50"/>
      <c r="AC938" s="50"/>
      <c r="AD938" s="50"/>
      <c r="AE938" s="50"/>
      <c r="AF938" s="50"/>
      <c r="AG938" s="50"/>
      <c r="AH938" s="50"/>
      <c r="AI938" s="50"/>
      <c r="AJ938" s="50"/>
    </row>
    <row r="939" spans="1:36" ht="15" customHeight="1" x14ac:dyDescent="0.25">
      <c r="A939" s="50">
        <v>188</v>
      </c>
      <c r="B939" s="50" t="s">
        <v>926</v>
      </c>
      <c r="C939" s="50" t="s">
        <v>1352</v>
      </c>
      <c r="D939" s="50">
        <v>30</v>
      </c>
      <c r="E939" s="50" t="s">
        <v>1360</v>
      </c>
      <c r="F939" s="50">
        <v>8</v>
      </c>
      <c r="G939" s="50">
        <v>5.8</v>
      </c>
      <c r="H939" s="50">
        <v>51</v>
      </c>
      <c r="I939" s="50">
        <v>3.74</v>
      </c>
      <c r="J939" s="50">
        <v>118</v>
      </c>
      <c r="K939" s="50">
        <v>94</v>
      </c>
      <c r="L939" s="50">
        <v>6.66</v>
      </c>
      <c r="M939" s="50">
        <v>5.78</v>
      </c>
      <c r="N939" s="50">
        <v>43</v>
      </c>
      <c r="O939" s="50">
        <v>12.1</v>
      </c>
      <c r="P939" s="50">
        <v>9.6</v>
      </c>
      <c r="Q939" s="50">
        <v>43.8</v>
      </c>
      <c r="R939" s="50">
        <v>40.1</v>
      </c>
      <c r="S939" s="50">
        <v>19</v>
      </c>
      <c r="T939" s="50">
        <v>56</v>
      </c>
      <c r="U939" s="50">
        <v>9.34</v>
      </c>
      <c r="V939" s="50">
        <v>63.3</v>
      </c>
      <c r="W939" s="50">
        <v>54</v>
      </c>
      <c r="X939" s="50">
        <v>435</v>
      </c>
      <c r="Y939" s="50">
        <v>13.44</v>
      </c>
      <c r="Z939" s="50">
        <v>34.799999999999997</v>
      </c>
      <c r="AA939" s="50">
        <v>3.99</v>
      </c>
      <c r="AB939" s="50"/>
      <c r="AC939" s="50"/>
      <c r="AD939" s="50"/>
      <c r="AE939" s="50"/>
      <c r="AF939" s="50"/>
      <c r="AG939" s="50"/>
      <c r="AH939" s="50"/>
      <c r="AI939" s="50"/>
      <c r="AJ939" s="50"/>
    </row>
    <row r="940" spans="1:36" ht="15" customHeight="1" x14ac:dyDescent="0.25">
      <c r="A940" s="50">
        <v>188</v>
      </c>
      <c r="B940" s="50" t="s">
        <v>926</v>
      </c>
      <c r="C940" s="50" t="s">
        <v>1352</v>
      </c>
      <c r="D940" s="50">
        <v>30</v>
      </c>
      <c r="E940" s="50" t="s">
        <v>1360</v>
      </c>
      <c r="F940" s="50">
        <v>12</v>
      </c>
      <c r="G940" s="50">
        <v>5.5</v>
      </c>
      <c r="H940" s="50">
        <v>51</v>
      </c>
      <c r="I940" s="50">
        <v>3.57</v>
      </c>
      <c r="J940" s="50">
        <v>117</v>
      </c>
      <c r="K940" s="50">
        <v>91</v>
      </c>
      <c r="L940" s="50">
        <v>6.33</v>
      </c>
      <c r="M940" s="50">
        <v>5.72</v>
      </c>
      <c r="N940" s="50">
        <v>41</v>
      </c>
      <c r="O940" s="50">
        <v>12.3</v>
      </c>
      <c r="P940" s="50">
        <v>10.5</v>
      </c>
      <c r="Q940" s="50">
        <v>43.6</v>
      </c>
      <c r="R940" s="50">
        <v>38.9</v>
      </c>
      <c r="S940" s="50">
        <v>21.9</v>
      </c>
      <c r="T940" s="50">
        <v>59</v>
      </c>
      <c r="U940" s="50">
        <v>8.85</v>
      </c>
      <c r="V940" s="50">
        <v>63.9</v>
      </c>
      <c r="W940" s="50">
        <v>54</v>
      </c>
      <c r="X940" s="50">
        <v>447</v>
      </c>
      <c r="Y940" s="50">
        <v>13.66</v>
      </c>
      <c r="Z940" s="50">
        <v>35.6</v>
      </c>
      <c r="AA940" s="50">
        <v>4.3899999999999997</v>
      </c>
      <c r="AB940" s="50"/>
      <c r="AC940" s="50"/>
      <c r="AD940" s="50"/>
      <c r="AE940" s="50"/>
      <c r="AF940" s="50"/>
      <c r="AG940" s="50"/>
      <c r="AH940" s="50"/>
      <c r="AI940" s="50"/>
      <c r="AJ940" s="50"/>
    </row>
    <row r="941" spans="1:36" ht="15" customHeight="1" x14ac:dyDescent="0.25">
      <c r="A941" s="50">
        <v>188</v>
      </c>
      <c r="B941" s="50" t="s">
        <v>926</v>
      </c>
      <c r="C941" s="50" t="s">
        <v>1352</v>
      </c>
      <c r="D941" s="50">
        <v>30</v>
      </c>
      <c r="E941" s="50" t="s">
        <v>1360</v>
      </c>
      <c r="F941" s="50">
        <v>21</v>
      </c>
      <c r="G941" s="50">
        <v>5</v>
      </c>
      <c r="H941" s="50">
        <v>50</v>
      </c>
      <c r="I941" s="50">
        <v>3.38</v>
      </c>
      <c r="J941" s="50">
        <v>122</v>
      </c>
      <c r="K941" s="50">
        <v>85</v>
      </c>
      <c r="L941" s="50">
        <v>5.72</v>
      </c>
      <c r="M941" s="50">
        <v>5.09</v>
      </c>
      <c r="N941" s="50">
        <v>38</v>
      </c>
      <c r="O941" s="50">
        <v>10.7</v>
      </c>
      <c r="P941" s="50">
        <v>8.1999999999999993</v>
      </c>
      <c r="Q941" s="50">
        <v>40.299999999999997</v>
      </c>
      <c r="R941" s="50">
        <v>45.1</v>
      </c>
      <c r="S941" s="50">
        <v>25.1</v>
      </c>
      <c r="T941" s="50">
        <v>59</v>
      </c>
      <c r="U941" s="50">
        <v>7.81</v>
      </c>
      <c r="V941" s="50">
        <v>66.3</v>
      </c>
      <c r="W941" s="50">
        <v>55</v>
      </c>
      <c r="X941" s="50">
        <v>459</v>
      </c>
      <c r="Y941" s="50">
        <v>12.97</v>
      </c>
      <c r="Z941" s="50">
        <v>37.5</v>
      </c>
      <c r="AA941" s="50">
        <v>4.83</v>
      </c>
      <c r="AB941" s="50"/>
      <c r="AC941" s="50"/>
      <c r="AD941" s="50"/>
      <c r="AE941" s="50"/>
      <c r="AF941" s="50"/>
      <c r="AG941" s="50"/>
      <c r="AH941" s="50"/>
      <c r="AI941" s="50"/>
      <c r="AJ941" s="50"/>
    </row>
    <row r="942" spans="1:36" ht="15" customHeight="1" x14ac:dyDescent="0.25">
      <c r="A942" s="50">
        <v>189</v>
      </c>
      <c r="B942" s="50" t="s">
        <v>926</v>
      </c>
      <c r="C942" s="50" t="s">
        <v>1352</v>
      </c>
      <c r="D942" s="50">
        <v>42</v>
      </c>
      <c r="E942" s="50" t="s">
        <v>1353</v>
      </c>
      <c r="F942" s="50">
        <v>0</v>
      </c>
      <c r="G942" s="50">
        <v>6.7</v>
      </c>
      <c r="H942" s="50">
        <v>56</v>
      </c>
      <c r="I942" s="50">
        <v>3.28</v>
      </c>
      <c r="J942" s="50">
        <v>85</v>
      </c>
      <c r="K942" s="50">
        <v>100</v>
      </c>
      <c r="L942" s="50">
        <v>7.06</v>
      </c>
      <c r="M942" s="50">
        <v>5.94</v>
      </c>
      <c r="N942" s="50">
        <v>35</v>
      </c>
      <c r="O942" s="50">
        <v>7.9</v>
      </c>
      <c r="P942" s="50">
        <v>12</v>
      </c>
      <c r="Q942" s="50">
        <v>70.400000000000006</v>
      </c>
      <c r="R942" s="50">
        <v>40.799999999999997</v>
      </c>
      <c r="S942" s="50">
        <v>10.6</v>
      </c>
      <c r="T942" s="50">
        <v>39</v>
      </c>
      <c r="U942" s="50">
        <v>2.64</v>
      </c>
      <c r="V942" s="50">
        <v>48.8</v>
      </c>
      <c r="W942" s="50">
        <v>46</v>
      </c>
      <c r="X942" s="50">
        <v>373</v>
      </c>
      <c r="Y942" s="50">
        <v>18.89</v>
      </c>
      <c r="Z942" s="50">
        <v>29.6</v>
      </c>
      <c r="AA942" s="50">
        <v>4.38</v>
      </c>
      <c r="AB942" s="50"/>
      <c r="AC942" s="50"/>
      <c r="AD942" s="50"/>
      <c r="AE942" s="50"/>
      <c r="AF942" s="50"/>
      <c r="AG942" s="50"/>
      <c r="AH942" s="50"/>
      <c r="AI942" s="50"/>
      <c r="AJ942" s="50"/>
    </row>
    <row r="943" spans="1:36" ht="15" customHeight="1" x14ac:dyDescent="0.25">
      <c r="A943" s="50">
        <v>189</v>
      </c>
      <c r="B943" s="50" t="s">
        <v>926</v>
      </c>
      <c r="C943" s="50" t="s">
        <v>1352</v>
      </c>
      <c r="D943" s="50">
        <v>42</v>
      </c>
      <c r="E943" s="50" t="s">
        <v>1353</v>
      </c>
      <c r="F943" s="50">
        <v>4</v>
      </c>
      <c r="G943" s="50">
        <v>6.6</v>
      </c>
      <c r="H943" s="50">
        <v>55</v>
      </c>
      <c r="I943" s="50">
        <v>3.21</v>
      </c>
      <c r="J943" s="50">
        <v>95</v>
      </c>
      <c r="K943" s="50">
        <v>97</v>
      </c>
      <c r="L943" s="50">
        <v>7.11</v>
      </c>
      <c r="M943" s="50">
        <v>5.62</v>
      </c>
      <c r="N943" s="50">
        <v>34</v>
      </c>
      <c r="O943" s="50">
        <v>8.1</v>
      </c>
      <c r="P943" s="50">
        <v>12.2</v>
      </c>
      <c r="Q943" s="50">
        <v>70.7</v>
      </c>
      <c r="R943" s="50">
        <v>42.7</v>
      </c>
      <c r="S943" s="50">
        <v>10.1</v>
      </c>
      <c r="T943" s="50">
        <v>37</v>
      </c>
      <c r="U943" s="50">
        <v>2.79</v>
      </c>
      <c r="V943" s="50">
        <v>49</v>
      </c>
      <c r="W943" s="50">
        <v>47</v>
      </c>
      <c r="X943" s="50">
        <v>378</v>
      </c>
      <c r="Y943" s="50">
        <v>19.149999999999999</v>
      </c>
      <c r="Z943" s="50">
        <v>30.9</v>
      </c>
      <c r="AA943" s="50">
        <v>4.28</v>
      </c>
      <c r="AB943" s="50"/>
      <c r="AC943" s="50"/>
      <c r="AD943" s="50"/>
      <c r="AE943" s="50"/>
      <c r="AF943" s="50"/>
      <c r="AG943" s="50"/>
      <c r="AH943" s="50"/>
      <c r="AI943" s="50"/>
      <c r="AJ943" s="50"/>
    </row>
    <row r="944" spans="1:36" ht="15" customHeight="1" x14ac:dyDescent="0.25">
      <c r="A944" s="50">
        <v>189</v>
      </c>
      <c r="B944" s="50" t="s">
        <v>926</v>
      </c>
      <c r="C944" s="50" t="s">
        <v>1352</v>
      </c>
      <c r="D944" s="50">
        <v>42</v>
      </c>
      <c r="E944" s="50" t="s">
        <v>1353</v>
      </c>
      <c r="F944" s="50">
        <v>8</v>
      </c>
      <c r="G944" s="50">
        <v>6</v>
      </c>
      <c r="H944" s="50">
        <v>54</v>
      </c>
      <c r="I944" s="50">
        <v>3.07</v>
      </c>
      <c r="J944" s="50">
        <v>92</v>
      </c>
      <c r="K944" s="50">
        <v>94</v>
      </c>
      <c r="L944" s="50">
        <v>6.72</v>
      </c>
      <c r="M944" s="50">
        <v>5.17</v>
      </c>
      <c r="N944" s="50">
        <v>33</v>
      </c>
      <c r="O944" s="50">
        <v>7.4</v>
      </c>
      <c r="P944" s="50">
        <v>10.8</v>
      </c>
      <c r="Q944" s="50">
        <v>61.5</v>
      </c>
      <c r="R944" s="50">
        <v>43</v>
      </c>
      <c r="S944" s="50">
        <v>15</v>
      </c>
      <c r="T944" s="50">
        <v>44</v>
      </c>
      <c r="U944" s="50">
        <v>3.28</v>
      </c>
      <c r="V944" s="50">
        <v>50.4</v>
      </c>
      <c r="W944" s="50">
        <v>52</v>
      </c>
      <c r="X944" s="50">
        <v>393</v>
      </c>
      <c r="Y944" s="50">
        <v>17.52</v>
      </c>
      <c r="Z944" s="50">
        <v>33.700000000000003</v>
      </c>
      <c r="AA944" s="50">
        <v>4.53</v>
      </c>
      <c r="AB944" s="50"/>
      <c r="AC944" s="50"/>
      <c r="AD944" s="50"/>
      <c r="AE944" s="50"/>
      <c r="AF944" s="50"/>
      <c r="AG944" s="50"/>
      <c r="AH944" s="50"/>
      <c r="AI944" s="50"/>
      <c r="AJ944" s="50"/>
    </row>
    <row r="945" spans="1:36" ht="15" customHeight="1" x14ac:dyDescent="0.25">
      <c r="A945" s="50">
        <v>189</v>
      </c>
      <c r="B945" s="50" t="s">
        <v>926</v>
      </c>
      <c r="C945" s="50" t="s">
        <v>1352</v>
      </c>
      <c r="D945" s="50">
        <v>42</v>
      </c>
      <c r="E945" s="50" t="s">
        <v>1353</v>
      </c>
      <c r="F945" s="50">
        <v>12</v>
      </c>
      <c r="G945" s="50">
        <v>5.5</v>
      </c>
      <c r="H945" s="50">
        <v>52</v>
      </c>
      <c r="I945" s="50">
        <v>3.06</v>
      </c>
      <c r="J945" s="50">
        <v>99</v>
      </c>
      <c r="K945" s="50">
        <v>91</v>
      </c>
      <c r="L945" s="50">
        <v>6.24</v>
      </c>
      <c r="M945" s="50">
        <v>4.74</v>
      </c>
      <c r="N945" s="50">
        <v>31</v>
      </c>
      <c r="O945" s="50">
        <v>8.1</v>
      </c>
      <c r="P945" s="50">
        <v>10.8</v>
      </c>
      <c r="Q945" s="50">
        <v>57.7</v>
      </c>
      <c r="R945" s="50">
        <v>47.3</v>
      </c>
      <c r="S945" s="50">
        <v>14.9</v>
      </c>
      <c r="T945" s="50">
        <v>47</v>
      </c>
      <c r="U945" s="50">
        <v>2.61</v>
      </c>
      <c r="V945" s="50">
        <v>54.5</v>
      </c>
      <c r="W945" s="50">
        <v>58</v>
      </c>
      <c r="X945" s="50">
        <v>419</v>
      </c>
      <c r="Y945" s="50">
        <v>16.66</v>
      </c>
      <c r="Z945" s="50">
        <v>32.5</v>
      </c>
      <c r="AA945" s="50">
        <v>4.59</v>
      </c>
      <c r="AB945" s="50"/>
      <c r="AC945" s="50"/>
      <c r="AD945" s="50"/>
      <c r="AE945" s="50"/>
      <c r="AF945" s="50"/>
      <c r="AG945" s="50"/>
      <c r="AH945" s="50"/>
      <c r="AI945" s="50"/>
      <c r="AJ945" s="50"/>
    </row>
    <row r="946" spans="1:36" ht="15" customHeight="1" x14ac:dyDescent="0.25">
      <c r="A946" s="50">
        <v>189</v>
      </c>
      <c r="B946" s="50" t="s">
        <v>926</v>
      </c>
      <c r="C946" s="50" t="s">
        <v>1352</v>
      </c>
      <c r="D946" s="50">
        <v>42</v>
      </c>
      <c r="E946" s="50" t="s">
        <v>1353</v>
      </c>
      <c r="F946" s="50">
        <v>21</v>
      </c>
      <c r="G946" s="50">
        <v>4.8</v>
      </c>
      <c r="H946" s="50">
        <v>48</v>
      </c>
      <c r="I946" s="50">
        <v>2.81</v>
      </c>
      <c r="J946" s="50">
        <v>101</v>
      </c>
      <c r="K946" s="50">
        <v>85</v>
      </c>
      <c r="L946" s="50">
        <v>5.63</v>
      </c>
      <c r="M946" s="50">
        <v>4.2</v>
      </c>
      <c r="N946" s="50">
        <v>30</v>
      </c>
      <c r="O946" s="50">
        <v>6</v>
      </c>
      <c r="P946" s="50">
        <v>9.8000000000000007</v>
      </c>
      <c r="Q946" s="50">
        <v>52.6</v>
      </c>
      <c r="R946" s="50">
        <v>52.6</v>
      </c>
      <c r="S946" s="50">
        <v>18.899999999999999</v>
      </c>
      <c r="T946" s="50">
        <v>46</v>
      </c>
      <c r="U946" s="50">
        <v>2.34</v>
      </c>
      <c r="V946" s="50">
        <v>55.3</v>
      </c>
      <c r="W946" s="50">
        <v>57</v>
      </c>
      <c r="X946" s="50">
        <v>427</v>
      </c>
      <c r="Y946" s="50">
        <v>15.55</v>
      </c>
      <c r="Z946" s="50">
        <v>34.5</v>
      </c>
      <c r="AA946" s="50">
        <v>5.16</v>
      </c>
      <c r="AB946" s="50"/>
      <c r="AC946" s="50"/>
      <c r="AD946" s="50"/>
      <c r="AE946" s="50"/>
      <c r="AF946" s="50"/>
      <c r="AG946" s="50"/>
      <c r="AH946" s="50"/>
      <c r="AI946" s="50"/>
      <c r="AJ946" s="50"/>
    </row>
    <row r="947" spans="1:36" ht="15" customHeight="1" x14ac:dyDescent="0.25">
      <c r="A947" s="50">
        <v>190</v>
      </c>
      <c r="B947" s="50" t="s">
        <v>926</v>
      </c>
      <c r="C947" s="50" t="s">
        <v>1352</v>
      </c>
      <c r="D947" s="50">
        <v>34</v>
      </c>
      <c r="E947" s="50" t="s">
        <v>1355</v>
      </c>
      <c r="F947" s="50">
        <v>0</v>
      </c>
      <c r="G947" s="50">
        <v>6.9</v>
      </c>
      <c r="H947" s="50">
        <v>39</v>
      </c>
      <c r="I947" s="50">
        <v>3.36</v>
      </c>
      <c r="J947" s="50">
        <v>88</v>
      </c>
      <c r="K947" s="50">
        <v>100</v>
      </c>
      <c r="L947" s="50">
        <v>6.6</v>
      </c>
      <c r="M947" s="50">
        <v>5.53</v>
      </c>
      <c r="N947" s="50">
        <v>23</v>
      </c>
      <c r="O947" s="50">
        <v>13</v>
      </c>
      <c r="P947" s="50">
        <v>15</v>
      </c>
      <c r="Q947" s="50">
        <v>37.1</v>
      </c>
      <c r="R947" s="50">
        <v>34.700000000000003</v>
      </c>
      <c r="S947" s="50">
        <v>17.3</v>
      </c>
      <c r="T947" s="50">
        <v>40</v>
      </c>
      <c r="U947" s="50">
        <v>12.65</v>
      </c>
      <c r="V947" s="50">
        <v>60.6</v>
      </c>
      <c r="W947" s="50">
        <v>31</v>
      </c>
      <c r="X947" s="50">
        <v>361</v>
      </c>
      <c r="Y947" s="50">
        <v>14.27</v>
      </c>
      <c r="Z947" s="50">
        <v>26.8</v>
      </c>
      <c r="AA947" s="50">
        <v>5.09</v>
      </c>
      <c r="AB947" s="50"/>
      <c r="AC947" s="50"/>
      <c r="AD947" s="50"/>
      <c r="AE947" s="50"/>
      <c r="AF947" s="50"/>
      <c r="AG947" s="50"/>
      <c r="AH947" s="50"/>
      <c r="AI947" s="50"/>
      <c r="AJ947" s="50"/>
    </row>
    <row r="948" spans="1:36" ht="15" customHeight="1" x14ac:dyDescent="0.25">
      <c r="A948" s="50">
        <v>190</v>
      </c>
      <c r="B948" s="50" t="s">
        <v>926</v>
      </c>
      <c r="C948" s="50" t="s">
        <v>1352</v>
      </c>
      <c r="D948" s="50">
        <v>34</v>
      </c>
      <c r="E948" s="50" t="s">
        <v>1355</v>
      </c>
      <c r="F948" s="50">
        <v>4</v>
      </c>
      <c r="G948" s="50">
        <v>6.7</v>
      </c>
      <c r="H948" s="50">
        <v>39</v>
      </c>
      <c r="I948" s="50">
        <v>3.14</v>
      </c>
      <c r="J948" s="50">
        <v>87</v>
      </c>
      <c r="K948" s="50">
        <v>97</v>
      </c>
      <c r="L948" s="50">
        <v>6.43</v>
      </c>
      <c r="M948" s="50">
        <v>5.77</v>
      </c>
      <c r="N948" s="50">
        <v>22</v>
      </c>
      <c r="O948" s="50">
        <v>13.4</v>
      </c>
      <c r="P948" s="50">
        <v>14.5</v>
      </c>
      <c r="Q948" s="50">
        <v>38.799999999999997</v>
      </c>
      <c r="R948" s="50">
        <v>36.299999999999997</v>
      </c>
      <c r="S948" s="50">
        <v>19.2</v>
      </c>
      <c r="T948" s="50">
        <v>44</v>
      </c>
      <c r="U948" s="50">
        <v>12.41</v>
      </c>
      <c r="V948" s="50">
        <v>61.6</v>
      </c>
      <c r="W948" s="50">
        <v>31</v>
      </c>
      <c r="X948" s="50">
        <v>373</v>
      </c>
      <c r="Y948" s="50">
        <v>14.6</v>
      </c>
      <c r="Z948" s="50">
        <v>27.4</v>
      </c>
      <c r="AA948" s="50">
        <v>5.04</v>
      </c>
      <c r="AB948" s="50"/>
      <c r="AC948" s="50"/>
      <c r="AD948" s="50"/>
      <c r="AE948" s="50"/>
      <c r="AF948" s="50"/>
      <c r="AG948" s="50"/>
      <c r="AH948" s="50"/>
      <c r="AI948" s="50"/>
      <c r="AJ948" s="50"/>
    </row>
    <row r="949" spans="1:36" ht="15" customHeight="1" x14ac:dyDescent="0.25">
      <c r="A949" s="50">
        <v>190</v>
      </c>
      <c r="B949" s="50" t="s">
        <v>926</v>
      </c>
      <c r="C949" s="50" t="s">
        <v>1352</v>
      </c>
      <c r="D949" s="50">
        <v>34</v>
      </c>
      <c r="E949" s="50" t="s">
        <v>1355</v>
      </c>
      <c r="F949" s="50">
        <v>8</v>
      </c>
      <c r="G949" s="50">
        <v>6.2</v>
      </c>
      <c r="H949" s="50">
        <v>37</v>
      </c>
      <c r="I949" s="50">
        <v>3.08</v>
      </c>
      <c r="J949" s="50">
        <v>90</v>
      </c>
      <c r="K949" s="50">
        <v>94</v>
      </c>
      <c r="L949" s="50">
        <v>6.06</v>
      </c>
      <c r="M949" s="50">
        <v>5.29</v>
      </c>
      <c r="N949" s="50">
        <v>22</v>
      </c>
      <c r="O949" s="50">
        <v>12.3</v>
      </c>
      <c r="P949" s="50">
        <v>15.3</v>
      </c>
      <c r="Q949" s="50">
        <v>35.200000000000003</v>
      </c>
      <c r="R949" s="50">
        <v>40.6</v>
      </c>
      <c r="S949" s="50">
        <v>21.3</v>
      </c>
      <c r="T949" s="50">
        <v>44</v>
      </c>
      <c r="U949" s="50">
        <v>10.56</v>
      </c>
      <c r="V949" s="50">
        <v>62.2</v>
      </c>
      <c r="W949" s="50">
        <v>35</v>
      </c>
      <c r="X949" s="50">
        <v>382</v>
      </c>
      <c r="Y949" s="50">
        <v>14.07</v>
      </c>
      <c r="Z949" s="50">
        <v>28.7</v>
      </c>
      <c r="AA949" s="50">
        <v>5.34</v>
      </c>
      <c r="AB949" s="50"/>
      <c r="AC949" s="50"/>
      <c r="AD949" s="50"/>
      <c r="AE949" s="50"/>
      <c r="AF949" s="50"/>
      <c r="AG949" s="50"/>
      <c r="AH949" s="50"/>
      <c r="AI949" s="50"/>
      <c r="AJ949" s="50"/>
    </row>
    <row r="950" spans="1:36" ht="15" customHeight="1" x14ac:dyDescent="0.25">
      <c r="A950" s="50">
        <v>190</v>
      </c>
      <c r="B950" s="50" t="s">
        <v>926</v>
      </c>
      <c r="C950" s="50" t="s">
        <v>1352</v>
      </c>
      <c r="D950" s="50">
        <v>34</v>
      </c>
      <c r="E950" s="50" t="s">
        <v>1355</v>
      </c>
      <c r="F950" s="50">
        <v>12</v>
      </c>
      <c r="G950" s="50">
        <v>5.8</v>
      </c>
      <c r="H950" s="50">
        <v>36</v>
      </c>
      <c r="I950" s="50">
        <v>2.9</v>
      </c>
      <c r="J950" s="50">
        <v>94</v>
      </c>
      <c r="K950" s="50">
        <v>91</v>
      </c>
      <c r="L950" s="50">
        <v>5.73</v>
      </c>
      <c r="M950" s="50">
        <v>5.14</v>
      </c>
      <c r="N950" s="50">
        <v>21</v>
      </c>
      <c r="O950" s="50">
        <v>12</v>
      </c>
      <c r="P950" s="50">
        <v>15.4</v>
      </c>
      <c r="Q950" s="50">
        <v>34.1</v>
      </c>
      <c r="R950" s="50">
        <v>41.8</v>
      </c>
      <c r="S950" s="50">
        <v>21.1</v>
      </c>
      <c r="T950" s="50">
        <v>47</v>
      </c>
      <c r="U950" s="50">
        <v>10.92</v>
      </c>
      <c r="V950" s="50">
        <v>65.2</v>
      </c>
      <c r="W950" s="50">
        <v>36</v>
      </c>
      <c r="X950" s="50">
        <v>398</v>
      </c>
      <c r="Y950" s="50">
        <v>13.67</v>
      </c>
      <c r="Z950" s="50">
        <v>28.5</v>
      </c>
      <c r="AA950" s="50">
        <v>5.56</v>
      </c>
      <c r="AB950" s="50"/>
      <c r="AC950" s="50"/>
      <c r="AD950" s="50"/>
      <c r="AE950" s="50"/>
      <c r="AF950" s="50"/>
      <c r="AG950" s="50"/>
      <c r="AH950" s="50"/>
      <c r="AI950" s="50"/>
      <c r="AJ950" s="50"/>
    </row>
    <row r="951" spans="1:36" ht="15" customHeight="1" x14ac:dyDescent="0.25">
      <c r="A951" s="50">
        <v>190</v>
      </c>
      <c r="B951" s="50" t="s">
        <v>926</v>
      </c>
      <c r="C951" s="50" t="s">
        <v>1352</v>
      </c>
      <c r="D951" s="50">
        <v>34</v>
      </c>
      <c r="E951" s="50" t="s">
        <v>1355</v>
      </c>
      <c r="F951" s="50">
        <v>21</v>
      </c>
      <c r="G951" s="50">
        <v>5.4</v>
      </c>
      <c r="H951" s="50">
        <v>35</v>
      </c>
      <c r="I951" s="50">
        <v>2.7</v>
      </c>
      <c r="J951" s="50">
        <v>98</v>
      </c>
      <c r="K951" s="50">
        <v>85</v>
      </c>
      <c r="L951" s="50">
        <v>5.42</v>
      </c>
      <c r="M951" s="50">
        <v>4.99</v>
      </c>
      <c r="N951" s="50">
        <v>21</v>
      </c>
      <c r="O951" s="50">
        <v>11.7</v>
      </c>
      <c r="P951" s="50">
        <v>14.1</v>
      </c>
      <c r="Q951" s="50">
        <v>32.5</v>
      </c>
      <c r="R951" s="50">
        <v>44.7</v>
      </c>
      <c r="S951" s="50">
        <v>25.4</v>
      </c>
      <c r="T951" s="50">
        <v>47</v>
      </c>
      <c r="U951" s="50">
        <v>9.5299999999999994</v>
      </c>
      <c r="V951" s="50">
        <v>65.3</v>
      </c>
      <c r="W951" s="50">
        <v>40</v>
      </c>
      <c r="X951" s="50">
        <v>414</v>
      </c>
      <c r="Y951" s="50">
        <v>12.76</v>
      </c>
      <c r="Z951" s="50">
        <v>30.3</v>
      </c>
      <c r="AA951" s="50">
        <v>5.5</v>
      </c>
      <c r="AB951" s="50"/>
      <c r="AC951" s="50"/>
      <c r="AD951" s="50"/>
      <c r="AE951" s="50"/>
      <c r="AF951" s="50"/>
      <c r="AG951" s="50"/>
      <c r="AH951" s="50"/>
      <c r="AI951" s="50"/>
      <c r="AJ951" s="50"/>
    </row>
    <row r="952" spans="1:36" ht="15" customHeight="1" x14ac:dyDescent="0.25">
      <c r="A952" s="50">
        <v>191</v>
      </c>
      <c r="B952" s="50" t="s">
        <v>926</v>
      </c>
      <c r="C952" s="50" t="s">
        <v>1352</v>
      </c>
      <c r="D952" s="50">
        <v>35</v>
      </c>
      <c r="E952" s="50" t="s">
        <v>1360</v>
      </c>
      <c r="F952" s="50">
        <v>0</v>
      </c>
      <c r="G952" s="50">
        <v>7</v>
      </c>
      <c r="H952" s="50">
        <v>45</v>
      </c>
      <c r="I952" s="50">
        <v>4.2</v>
      </c>
      <c r="J952" s="50">
        <v>96</v>
      </c>
      <c r="K952" s="50">
        <v>100</v>
      </c>
      <c r="L952" s="50">
        <v>6.56</v>
      </c>
      <c r="M952" s="50">
        <v>5.09</v>
      </c>
      <c r="N952" s="50">
        <v>45</v>
      </c>
      <c r="O952" s="50">
        <v>12</v>
      </c>
      <c r="P952" s="50">
        <v>9.3000000000000007</v>
      </c>
      <c r="Q952" s="50">
        <v>28.3</v>
      </c>
      <c r="R952" s="50">
        <v>28.8</v>
      </c>
      <c r="S952" s="50">
        <v>22.6</v>
      </c>
      <c r="T952" s="50">
        <v>33</v>
      </c>
      <c r="U952" s="50">
        <v>8.86</v>
      </c>
      <c r="V952" s="50">
        <v>63.9</v>
      </c>
      <c r="W952" s="50">
        <v>38</v>
      </c>
      <c r="X952" s="50">
        <v>350</v>
      </c>
      <c r="Y952" s="50">
        <v>13.29</v>
      </c>
      <c r="Z952" s="50">
        <v>30.6</v>
      </c>
      <c r="AA952" s="50">
        <v>5.69</v>
      </c>
      <c r="AB952" s="50"/>
      <c r="AC952" s="50"/>
      <c r="AD952" s="50"/>
      <c r="AE952" s="50"/>
      <c r="AF952" s="50"/>
      <c r="AG952" s="50"/>
      <c r="AH952" s="50"/>
      <c r="AI952" s="50"/>
      <c r="AJ952" s="50"/>
    </row>
    <row r="953" spans="1:36" ht="15" customHeight="1" x14ac:dyDescent="0.25">
      <c r="A953" s="50">
        <v>191</v>
      </c>
      <c r="B953" s="50" t="s">
        <v>926</v>
      </c>
      <c r="C953" s="50" t="s">
        <v>1352</v>
      </c>
      <c r="D953" s="50">
        <v>35</v>
      </c>
      <c r="E953" s="50" t="s">
        <v>1360</v>
      </c>
      <c r="F953" s="50">
        <v>4</v>
      </c>
      <c r="G953" s="50">
        <v>6.6</v>
      </c>
      <c r="H953" s="50">
        <v>45</v>
      </c>
      <c r="I953" s="50">
        <v>4.0599999999999996</v>
      </c>
      <c r="J953" s="50">
        <v>96</v>
      </c>
      <c r="K953" s="50">
        <v>97</v>
      </c>
      <c r="L953" s="50">
        <v>5.9</v>
      </c>
      <c r="M953" s="50">
        <v>4.8099999999999996</v>
      </c>
      <c r="N953" s="50">
        <v>42</v>
      </c>
      <c r="O953" s="50">
        <v>12.1</v>
      </c>
      <c r="P953" s="50">
        <v>9.3000000000000007</v>
      </c>
      <c r="Q953" s="50">
        <v>26.2</v>
      </c>
      <c r="R953" s="50">
        <v>33.9</v>
      </c>
      <c r="S953" s="50">
        <v>23.9</v>
      </c>
      <c r="T953" s="50">
        <v>36</v>
      </c>
      <c r="U953" s="50">
        <v>9.8800000000000008</v>
      </c>
      <c r="V953" s="50">
        <v>63.7</v>
      </c>
      <c r="W953" s="50">
        <v>39</v>
      </c>
      <c r="X953" s="50">
        <v>339</v>
      </c>
      <c r="Y953" s="50">
        <v>13.1</v>
      </c>
      <c r="Z953" s="50">
        <v>31.8</v>
      </c>
      <c r="AA953" s="50">
        <v>5.81</v>
      </c>
      <c r="AB953" s="50"/>
      <c r="AC953" s="50"/>
      <c r="AD953" s="50"/>
      <c r="AE953" s="50"/>
      <c r="AF953" s="50"/>
      <c r="AG953" s="50"/>
      <c r="AH953" s="50"/>
      <c r="AI953" s="50"/>
      <c r="AJ953" s="50"/>
    </row>
    <row r="954" spans="1:36" ht="15" customHeight="1" x14ac:dyDescent="0.25">
      <c r="A954" s="50">
        <v>191</v>
      </c>
      <c r="B954" s="50" t="s">
        <v>926</v>
      </c>
      <c r="C954" s="50" t="s">
        <v>1352</v>
      </c>
      <c r="D954" s="50">
        <v>35</v>
      </c>
      <c r="E954" s="50" t="s">
        <v>1360</v>
      </c>
      <c r="F954" s="50">
        <v>8</v>
      </c>
      <c r="G954" s="50">
        <v>6.6</v>
      </c>
      <c r="H954" s="50">
        <v>45</v>
      </c>
      <c r="I954" s="50">
        <v>4.0199999999999996</v>
      </c>
      <c r="J954" s="50">
        <v>100</v>
      </c>
      <c r="K954" s="50">
        <v>94</v>
      </c>
      <c r="L954" s="50">
        <v>6.06</v>
      </c>
      <c r="M954" s="50">
        <v>4.88</v>
      </c>
      <c r="N954" s="50">
        <v>45</v>
      </c>
      <c r="O954" s="50">
        <v>12</v>
      </c>
      <c r="P954" s="50">
        <v>9</v>
      </c>
      <c r="Q954" s="50">
        <v>27.3</v>
      </c>
      <c r="R954" s="50">
        <v>34.299999999999997</v>
      </c>
      <c r="S954" s="50">
        <v>23.7</v>
      </c>
      <c r="T954" s="50">
        <v>37</v>
      </c>
      <c r="U954" s="50">
        <v>10.130000000000001</v>
      </c>
      <c r="V954" s="50">
        <v>64.099999999999994</v>
      </c>
      <c r="W954" s="50">
        <v>42</v>
      </c>
      <c r="X954" s="50">
        <v>357</v>
      </c>
      <c r="Y954" s="50">
        <v>12.65</v>
      </c>
      <c r="Z954" s="50">
        <v>30.9</v>
      </c>
      <c r="AA954" s="50">
        <v>5.8</v>
      </c>
      <c r="AB954" s="50"/>
      <c r="AC954" s="50"/>
      <c r="AD954" s="50"/>
      <c r="AE954" s="50"/>
      <c r="AF954" s="50"/>
      <c r="AG954" s="50"/>
      <c r="AH954" s="50"/>
      <c r="AI954" s="50"/>
      <c r="AJ954" s="50"/>
    </row>
    <row r="955" spans="1:36" ht="15" customHeight="1" x14ac:dyDescent="0.25">
      <c r="A955" s="50">
        <v>191</v>
      </c>
      <c r="B955" s="50" t="s">
        <v>926</v>
      </c>
      <c r="C955" s="50" t="s">
        <v>1352</v>
      </c>
      <c r="D955" s="50">
        <v>35</v>
      </c>
      <c r="E955" s="50" t="s">
        <v>1360</v>
      </c>
      <c r="F955" s="50">
        <v>12</v>
      </c>
      <c r="G955" s="50">
        <v>6</v>
      </c>
      <c r="H955" s="50">
        <v>42</v>
      </c>
      <c r="I955" s="50">
        <v>3.87</v>
      </c>
      <c r="J955" s="50">
        <v>102</v>
      </c>
      <c r="K955" s="50">
        <v>91</v>
      </c>
      <c r="L955" s="50">
        <v>5.65</v>
      </c>
      <c r="M955" s="50">
        <v>4.5999999999999996</v>
      </c>
      <c r="N955" s="50">
        <v>39</v>
      </c>
      <c r="O955" s="50">
        <v>12</v>
      </c>
      <c r="P955" s="50">
        <v>9.5</v>
      </c>
      <c r="Q955" s="50">
        <v>26.2</v>
      </c>
      <c r="R955" s="50">
        <v>37.1</v>
      </c>
      <c r="S955" s="50">
        <v>25.5</v>
      </c>
      <c r="T955" s="50">
        <v>42</v>
      </c>
      <c r="U955" s="50">
        <v>8.16</v>
      </c>
      <c r="V955" s="50">
        <v>64.2</v>
      </c>
      <c r="W955" s="50">
        <v>47</v>
      </c>
      <c r="X955" s="50">
        <v>363</v>
      </c>
      <c r="Y955" s="50">
        <v>12.81</v>
      </c>
      <c r="Z955" s="50">
        <v>32.799999999999997</v>
      </c>
      <c r="AA955" s="50">
        <v>6.36</v>
      </c>
      <c r="AB955" s="50"/>
      <c r="AC955" s="50"/>
      <c r="AD955" s="50"/>
      <c r="AE955" s="50"/>
      <c r="AF955" s="50"/>
      <c r="AG955" s="50"/>
      <c r="AH955" s="50"/>
      <c r="AI955" s="50"/>
      <c r="AJ955" s="50"/>
    </row>
    <row r="956" spans="1:36" ht="15" customHeight="1" x14ac:dyDescent="0.25">
      <c r="A956" s="50">
        <v>191</v>
      </c>
      <c r="B956" s="50" t="s">
        <v>926</v>
      </c>
      <c r="C956" s="50" t="s">
        <v>1352</v>
      </c>
      <c r="D956" s="50">
        <v>35</v>
      </c>
      <c r="E956" s="50" t="s">
        <v>1360</v>
      </c>
      <c r="F956" s="50">
        <v>21</v>
      </c>
      <c r="G956" s="50">
        <v>5.7</v>
      </c>
      <c r="H956" s="50">
        <v>42</v>
      </c>
      <c r="I956" s="50">
        <v>3.59</v>
      </c>
      <c r="J956" s="50">
        <v>106</v>
      </c>
      <c r="K956" s="50">
        <v>85</v>
      </c>
      <c r="L956" s="50">
        <v>5.35</v>
      </c>
      <c r="M956" s="50">
        <v>4.59</v>
      </c>
      <c r="N956" s="50">
        <v>39</v>
      </c>
      <c r="O956" s="50">
        <v>12.1</v>
      </c>
      <c r="P956" s="50">
        <v>8.4</v>
      </c>
      <c r="Q956" s="50">
        <v>22.4</v>
      </c>
      <c r="R956" s="50">
        <v>41.5</v>
      </c>
      <c r="S956" s="50">
        <v>29.3</v>
      </c>
      <c r="T956" s="50">
        <v>42</v>
      </c>
      <c r="U956" s="50">
        <v>8.58</v>
      </c>
      <c r="V956" s="50">
        <v>65</v>
      </c>
      <c r="W956" s="50">
        <v>48</v>
      </c>
      <c r="X956" s="50">
        <v>375</v>
      </c>
      <c r="Y956" s="50">
        <v>12.14</v>
      </c>
      <c r="Z956" s="50">
        <v>33</v>
      </c>
      <c r="AA956" s="50">
        <v>6.16</v>
      </c>
      <c r="AB956" s="50"/>
      <c r="AC956" s="50"/>
      <c r="AD956" s="50"/>
      <c r="AE956" s="50"/>
      <c r="AF956" s="50"/>
      <c r="AG956" s="50"/>
      <c r="AH956" s="50"/>
      <c r="AI956" s="50"/>
      <c r="AJ956" s="50"/>
    </row>
    <row r="957" spans="1:36" ht="15" customHeight="1" x14ac:dyDescent="0.25">
      <c r="A957" s="50">
        <v>192</v>
      </c>
      <c r="B957" s="50" t="s">
        <v>926</v>
      </c>
      <c r="C957" s="50" t="s">
        <v>1357</v>
      </c>
      <c r="D957" s="50">
        <v>48</v>
      </c>
      <c r="E957" s="50" t="s">
        <v>1359</v>
      </c>
      <c r="F957" s="50">
        <v>0</v>
      </c>
      <c r="G957" s="50">
        <v>7</v>
      </c>
      <c r="H957" s="50">
        <v>45</v>
      </c>
      <c r="I957" s="50">
        <v>3.79</v>
      </c>
      <c r="J957" s="50">
        <v>123</v>
      </c>
      <c r="K957" s="50">
        <v>100</v>
      </c>
      <c r="L957" s="50">
        <v>7.56</v>
      </c>
      <c r="M957" s="50">
        <v>6.46</v>
      </c>
      <c r="N957" s="50">
        <v>40</v>
      </c>
      <c r="O957" s="50">
        <v>15.1</v>
      </c>
      <c r="P957" s="50">
        <v>9.5</v>
      </c>
      <c r="Q957" s="50">
        <v>40.299999999999997</v>
      </c>
      <c r="R957" s="50">
        <v>30.5</v>
      </c>
      <c r="S957" s="50">
        <v>29.7</v>
      </c>
      <c r="T957" s="50">
        <v>38</v>
      </c>
      <c r="U957" s="50">
        <v>4.72</v>
      </c>
      <c r="V957" s="50">
        <v>59.7</v>
      </c>
      <c r="W957" s="50">
        <v>48</v>
      </c>
      <c r="X957" s="50">
        <v>465</v>
      </c>
      <c r="Y957" s="50">
        <v>13.33</v>
      </c>
      <c r="Z957" s="50">
        <v>36.1</v>
      </c>
      <c r="AA957" s="50">
        <v>4.4800000000000004</v>
      </c>
      <c r="AB957" s="50"/>
      <c r="AC957" s="50"/>
      <c r="AD957" s="50"/>
      <c r="AE957" s="50"/>
      <c r="AF957" s="50"/>
      <c r="AG957" s="50"/>
      <c r="AH957" s="50"/>
      <c r="AI957" s="50"/>
      <c r="AJ957" s="50"/>
    </row>
    <row r="958" spans="1:36" ht="15" customHeight="1" x14ac:dyDescent="0.25">
      <c r="A958" s="50">
        <v>192</v>
      </c>
      <c r="B958" s="50" t="s">
        <v>926</v>
      </c>
      <c r="C958" s="50" t="s">
        <v>1357</v>
      </c>
      <c r="D958" s="50">
        <v>48</v>
      </c>
      <c r="E958" s="50" t="s">
        <v>1359</v>
      </c>
      <c r="F958" s="50">
        <v>4</v>
      </c>
      <c r="G958" s="50">
        <v>6.3</v>
      </c>
      <c r="H958" s="50">
        <v>45</v>
      </c>
      <c r="I958" s="50">
        <v>3.67</v>
      </c>
      <c r="J958" s="50">
        <v>121</v>
      </c>
      <c r="K958" s="50">
        <v>97</v>
      </c>
      <c r="L958" s="50">
        <v>6.7</v>
      </c>
      <c r="M958" s="50">
        <v>5.86</v>
      </c>
      <c r="N958" s="50">
        <v>38</v>
      </c>
      <c r="O958" s="50">
        <v>13.9</v>
      </c>
      <c r="P958" s="50">
        <v>9.6999999999999993</v>
      </c>
      <c r="Q958" s="50">
        <v>39.200000000000003</v>
      </c>
      <c r="R958" s="50">
        <v>36.1</v>
      </c>
      <c r="S958" s="50">
        <v>31.5</v>
      </c>
      <c r="T958" s="50">
        <v>42</v>
      </c>
      <c r="U958" s="50">
        <v>3.86</v>
      </c>
      <c r="V958" s="50">
        <v>60.9</v>
      </c>
      <c r="W958" s="50">
        <v>53</v>
      </c>
      <c r="X958" s="50">
        <v>486</v>
      </c>
      <c r="Y958" s="50">
        <v>13.6</v>
      </c>
      <c r="Z958" s="50">
        <v>37.4</v>
      </c>
      <c r="AA958" s="50">
        <v>4.78</v>
      </c>
      <c r="AB958" s="50"/>
      <c r="AC958" s="50"/>
      <c r="AD958" s="50"/>
      <c r="AE958" s="50"/>
      <c r="AF958" s="50"/>
      <c r="AG958" s="50"/>
      <c r="AH958" s="50"/>
      <c r="AI958" s="50"/>
      <c r="AJ958" s="50"/>
    </row>
    <row r="959" spans="1:36" ht="15" customHeight="1" x14ac:dyDescent="0.25">
      <c r="A959" s="50">
        <v>192</v>
      </c>
      <c r="B959" s="50" t="s">
        <v>926</v>
      </c>
      <c r="C959" s="50" t="s">
        <v>1357</v>
      </c>
      <c r="D959" s="50">
        <v>48</v>
      </c>
      <c r="E959" s="50" t="s">
        <v>1359</v>
      </c>
      <c r="F959" s="50">
        <v>8</v>
      </c>
      <c r="G959" s="50">
        <v>6.2</v>
      </c>
      <c r="H959" s="50">
        <v>43</v>
      </c>
      <c r="I959" s="50">
        <v>3.6</v>
      </c>
      <c r="J959" s="50">
        <v>128</v>
      </c>
      <c r="K959" s="50">
        <v>94</v>
      </c>
      <c r="L959" s="50">
        <v>6.66</v>
      </c>
      <c r="M959" s="50">
        <v>5.79</v>
      </c>
      <c r="N959" s="50">
        <v>37</v>
      </c>
      <c r="O959" s="50">
        <v>14</v>
      </c>
      <c r="P959" s="50">
        <v>9.4</v>
      </c>
      <c r="Q959" s="50">
        <v>35.4</v>
      </c>
      <c r="R959" s="50">
        <v>35.1</v>
      </c>
      <c r="S959" s="50">
        <v>32</v>
      </c>
      <c r="T959" s="50">
        <v>42</v>
      </c>
      <c r="U959" s="50">
        <v>4.42</v>
      </c>
      <c r="V959" s="50">
        <v>61.3</v>
      </c>
      <c r="W959" s="50">
        <v>53</v>
      </c>
      <c r="X959" s="50">
        <v>464</v>
      </c>
      <c r="Y959" s="50">
        <v>12.9</v>
      </c>
      <c r="Z959" s="50">
        <v>39.9</v>
      </c>
      <c r="AA959" s="50">
        <v>4.6500000000000004</v>
      </c>
      <c r="AB959" s="50"/>
      <c r="AC959" s="50"/>
      <c r="AD959" s="50"/>
      <c r="AE959" s="50"/>
      <c r="AF959" s="50"/>
      <c r="AG959" s="50"/>
      <c r="AH959" s="50"/>
      <c r="AI959" s="50"/>
      <c r="AJ959" s="50"/>
    </row>
    <row r="960" spans="1:36" ht="15" customHeight="1" x14ac:dyDescent="0.25">
      <c r="A960" s="50">
        <v>192</v>
      </c>
      <c r="B960" s="50" t="s">
        <v>926</v>
      </c>
      <c r="C960" s="50" t="s">
        <v>1357</v>
      </c>
      <c r="D960" s="50">
        <v>48</v>
      </c>
      <c r="E960" s="50" t="s">
        <v>1359</v>
      </c>
      <c r="F960" s="50">
        <v>12</v>
      </c>
      <c r="G960" s="50">
        <v>6.1</v>
      </c>
      <c r="H960" s="50">
        <v>41</v>
      </c>
      <c r="I960" s="50">
        <v>3.43</v>
      </c>
      <c r="J960" s="50">
        <v>123</v>
      </c>
      <c r="K960" s="50">
        <v>91</v>
      </c>
      <c r="L960" s="50">
        <v>6.34</v>
      </c>
      <c r="M960" s="50">
        <v>5.73</v>
      </c>
      <c r="N960" s="50">
        <v>36</v>
      </c>
      <c r="O960" s="50">
        <v>13.1</v>
      </c>
      <c r="P960" s="50">
        <v>9.1999999999999993</v>
      </c>
      <c r="Q960" s="50">
        <v>39.200000000000003</v>
      </c>
      <c r="R960" s="50">
        <v>37</v>
      </c>
      <c r="S960" s="50">
        <v>33.200000000000003</v>
      </c>
      <c r="T960" s="50">
        <v>40</v>
      </c>
      <c r="U960" s="50">
        <v>4.47</v>
      </c>
      <c r="V960" s="50">
        <v>60.9</v>
      </c>
      <c r="W960" s="50">
        <v>55</v>
      </c>
      <c r="X960" s="50">
        <v>475</v>
      </c>
      <c r="Y960" s="50">
        <v>13.18</v>
      </c>
      <c r="Z960" s="50">
        <v>36.1</v>
      </c>
      <c r="AA960" s="50">
        <v>4.75</v>
      </c>
      <c r="AB960" s="50"/>
      <c r="AC960" s="50"/>
      <c r="AD960" s="50"/>
      <c r="AE960" s="50"/>
      <c r="AF960" s="50"/>
      <c r="AG960" s="50"/>
      <c r="AH960" s="50"/>
      <c r="AI960" s="50"/>
      <c r="AJ960" s="50"/>
    </row>
    <row r="961" spans="1:36" ht="15" customHeight="1" x14ac:dyDescent="0.25">
      <c r="A961" s="50">
        <v>192</v>
      </c>
      <c r="B961" s="50" t="s">
        <v>926</v>
      </c>
      <c r="C961" s="50" t="s">
        <v>1357</v>
      </c>
      <c r="D961" s="50">
        <v>48</v>
      </c>
      <c r="E961" s="50" t="s">
        <v>1359</v>
      </c>
      <c r="F961" s="50">
        <v>21</v>
      </c>
      <c r="G961" s="50">
        <v>4.9000000000000004</v>
      </c>
      <c r="H961" s="50">
        <v>40</v>
      </c>
      <c r="I961" s="50">
        <v>3.25</v>
      </c>
      <c r="J961" s="50">
        <v>125</v>
      </c>
      <c r="K961" s="50">
        <v>85</v>
      </c>
      <c r="L961" s="50">
        <v>5.14</v>
      </c>
      <c r="M961" s="50">
        <v>4.88</v>
      </c>
      <c r="N961" s="50">
        <v>33</v>
      </c>
      <c r="O961" s="50">
        <v>11.5</v>
      </c>
      <c r="P961" s="50">
        <v>8.8000000000000007</v>
      </c>
      <c r="Q961" s="50">
        <v>33.299999999999997</v>
      </c>
      <c r="R961" s="50">
        <v>44.1</v>
      </c>
      <c r="S961" s="50">
        <v>36.9</v>
      </c>
      <c r="T961" s="50">
        <v>48</v>
      </c>
      <c r="U961" s="50">
        <v>4.3899999999999997</v>
      </c>
      <c r="V961" s="50">
        <v>64.400000000000006</v>
      </c>
      <c r="W961" s="50">
        <v>64</v>
      </c>
      <c r="X961" s="50">
        <v>514</v>
      </c>
      <c r="Y961" s="50">
        <v>11.25</v>
      </c>
      <c r="Z961" s="50">
        <v>38.4</v>
      </c>
      <c r="AA961" s="50">
        <v>5.22</v>
      </c>
      <c r="AB961" s="50"/>
      <c r="AC961" s="50"/>
      <c r="AD961" s="50"/>
      <c r="AE961" s="50"/>
      <c r="AF961" s="50"/>
      <c r="AG961" s="50"/>
      <c r="AH961" s="50"/>
      <c r="AI961" s="50"/>
      <c r="AJ961" s="50"/>
    </row>
    <row r="962" spans="1:36" ht="15" customHeight="1" x14ac:dyDescent="0.25">
      <c r="A962" s="50">
        <v>193</v>
      </c>
      <c r="B962" s="50" t="s">
        <v>926</v>
      </c>
      <c r="C962" s="50" t="s">
        <v>1352</v>
      </c>
      <c r="D962" s="50">
        <v>36</v>
      </c>
      <c r="E962" s="50" t="s">
        <v>1360</v>
      </c>
      <c r="F962" s="50">
        <v>0</v>
      </c>
      <c r="G962" s="50">
        <v>7.6</v>
      </c>
      <c r="H962" s="50">
        <v>44</v>
      </c>
      <c r="I962" s="50">
        <v>4.08</v>
      </c>
      <c r="J962" s="50">
        <v>86</v>
      </c>
      <c r="K962" s="50">
        <v>100</v>
      </c>
      <c r="L962" s="50">
        <v>7.49</v>
      </c>
      <c r="M962" s="50">
        <v>6.1</v>
      </c>
      <c r="N962" s="50">
        <v>44</v>
      </c>
      <c r="O962" s="50">
        <v>11.9</v>
      </c>
      <c r="P962" s="50">
        <v>11.9</v>
      </c>
      <c r="Q962" s="50">
        <v>63.9</v>
      </c>
      <c r="R962" s="50">
        <v>31.3</v>
      </c>
      <c r="S962" s="50">
        <v>21.3</v>
      </c>
      <c r="T962" s="50">
        <v>42</v>
      </c>
      <c r="U962" s="50">
        <v>9.5299999999999994</v>
      </c>
      <c r="V962" s="50">
        <v>62.9</v>
      </c>
      <c r="W962" s="50">
        <v>25</v>
      </c>
      <c r="X962" s="50">
        <v>477</v>
      </c>
      <c r="Y962" s="50">
        <v>12.45</v>
      </c>
      <c r="Z962" s="50">
        <v>25.5</v>
      </c>
      <c r="AA962" s="50">
        <v>4.8</v>
      </c>
      <c r="AB962" s="50"/>
      <c r="AC962" s="50"/>
      <c r="AD962" s="50"/>
      <c r="AE962" s="50"/>
      <c r="AF962" s="50"/>
      <c r="AG962" s="50"/>
      <c r="AH962" s="50"/>
      <c r="AI962" s="50"/>
      <c r="AJ962" s="50"/>
    </row>
    <row r="963" spans="1:36" ht="15" customHeight="1" x14ac:dyDescent="0.25">
      <c r="A963" s="50">
        <v>193</v>
      </c>
      <c r="B963" s="50" t="s">
        <v>926</v>
      </c>
      <c r="C963" s="50" t="s">
        <v>1352</v>
      </c>
      <c r="D963" s="50">
        <v>36</v>
      </c>
      <c r="E963" s="50" t="s">
        <v>1360</v>
      </c>
      <c r="F963" s="50">
        <v>4</v>
      </c>
      <c r="G963" s="50">
        <v>7.1</v>
      </c>
      <c r="H963" s="50">
        <v>43</v>
      </c>
      <c r="I963" s="50">
        <v>3.92</v>
      </c>
      <c r="J963" s="50">
        <v>88</v>
      </c>
      <c r="K963" s="50">
        <v>97</v>
      </c>
      <c r="L963" s="50">
        <v>6.88</v>
      </c>
      <c r="M963" s="50">
        <v>5.66</v>
      </c>
      <c r="N963" s="50">
        <v>44</v>
      </c>
      <c r="O963" s="50">
        <v>11.4</v>
      </c>
      <c r="P963" s="50">
        <v>11.3</v>
      </c>
      <c r="Q963" s="50">
        <v>59.9</v>
      </c>
      <c r="R963" s="50">
        <v>31.2</v>
      </c>
      <c r="S963" s="50">
        <v>21.7</v>
      </c>
      <c r="T963" s="50">
        <v>43</v>
      </c>
      <c r="U963" s="50">
        <v>9.0299999999999994</v>
      </c>
      <c r="V963" s="50">
        <v>64</v>
      </c>
      <c r="W963" s="50">
        <v>31</v>
      </c>
      <c r="X963" s="50">
        <v>483</v>
      </c>
      <c r="Y963" s="50">
        <v>12.88</v>
      </c>
      <c r="Z963" s="50">
        <v>24.9</v>
      </c>
      <c r="AA963" s="50">
        <v>5.03</v>
      </c>
      <c r="AB963" s="50"/>
      <c r="AC963" s="50"/>
      <c r="AD963" s="50"/>
      <c r="AE963" s="50"/>
      <c r="AF963" s="50"/>
      <c r="AG963" s="50"/>
      <c r="AH963" s="50"/>
      <c r="AI963" s="50"/>
      <c r="AJ963" s="50"/>
    </row>
    <row r="964" spans="1:36" ht="15" customHeight="1" x14ac:dyDescent="0.25">
      <c r="A964" s="50">
        <v>193</v>
      </c>
      <c r="B964" s="50" t="s">
        <v>926</v>
      </c>
      <c r="C964" s="50" t="s">
        <v>1352</v>
      </c>
      <c r="D964" s="50">
        <v>36</v>
      </c>
      <c r="E964" s="50" t="s">
        <v>1360</v>
      </c>
      <c r="F964" s="50">
        <v>8</v>
      </c>
      <c r="G964" s="50">
        <v>6.7</v>
      </c>
      <c r="H964" s="50">
        <v>42</v>
      </c>
      <c r="I964" s="50">
        <v>3.83</v>
      </c>
      <c r="J964" s="50">
        <v>86</v>
      </c>
      <c r="K964" s="50">
        <v>94</v>
      </c>
      <c r="L964" s="50">
        <v>6.57</v>
      </c>
      <c r="M964" s="50">
        <v>5.45</v>
      </c>
      <c r="N964" s="50">
        <v>41</v>
      </c>
      <c r="O964" s="50">
        <v>10.5</v>
      </c>
      <c r="P964" s="50">
        <v>11.4</v>
      </c>
      <c r="Q964" s="50">
        <v>58</v>
      </c>
      <c r="R964" s="50">
        <v>34.200000000000003</v>
      </c>
      <c r="S964" s="50">
        <v>25.9</v>
      </c>
      <c r="T964" s="50">
        <v>51</v>
      </c>
      <c r="U964" s="50">
        <v>7.63</v>
      </c>
      <c r="V964" s="50">
        <v>61.8</v>
      </c>
      <c r="W964" s="50">
        <v>34</v>
      </c>
      <c r="X964" s="50">
        <v>495</v>
      </c>
      <c r="Y964" s="50">
        <v>12.05</v>
      </c>
      <c r="Z964" s="50">
        <v>26.6</v>
      </c>
      <c r="AA964" s="50">
        <v>4.95</v>
      </c>
      <c r="AB964" s="50"/>
      <c r="AC964" s="50"/>
      <c r="AD964" s="50"/>
      <c r="AE964" s="50"/>
      <c r="AF964" s="50"/>
      <c r="AG964" s="50"/>
      <c r="AH964" s="50"/>
      <c r="AI964" s="50"/>
      <c r="AJ964" s="50"/>
    </row>
    <row r="965" spans="1:36" ht="15" customHeight="1" x14ac:dyDescent="0.25">
      <c r="A965" s="50">
        <v>193</v>
      </c>
      <c r="B965" s="50" t="s">
        <v>926</v>
      </c>
      <c r="C965" s="50" t="s">
        <v>1352</v>
      </c>
      <c r="D965" s="50">
        <v>36</v>
      </c>
      <c r="E965" s="50" t="s">
        <v>1360</v>
      </c>
      <c r="F965" s="50">
        <v>12</v>
      </c>
      <c r="G965" s="50">
        <v>6.5</v>
      </c>
      <c r="H965" s="50">
        <v>42</v>
      </c>
      <c r="I965" s="50">
        <v>3.73</v>
      </c>
      <c r="J965" s="50">
        <v>89</v>
      </c>
      <c r="K965" s="50">
        <v>91</v>
      </c>
      <c r="L965" s="50">
        <v>6.21</v>
      </c>
      <c r="M965" s="50">
        <v>5.46</v>
      </c>
      <c r="N965" s="50">
        <v>43</v>
      </c>
      <c r="O965" s="50">
        <v>10.1</v>
      </c>
      <c r="P965" s="50">
        <v>12</v>
      </c>
      <c r="Q965" s="50">
        <v>54.7</v>
      </c>
      <c r="R965" s="50">
        <v>35.6</v>
      </c>
      <c r="S965" s="50">
        <v>26.3</v>
      </c>
      <c r="T965" s="50">
        <v>51</v>
      </c>
      <c r="U965" s="50">
        <v>8.2899999999999991</v>
      </c>
      <c r="V965" s="50">
        <v>64.900000000000006</v>
      </c>
      <c r="W965" s="50">
        <v>33</v>
      </c>
      <c r="X965" s="50">
        <v>483</v>
      </c>
      <c r="Y965" s="50">
        <v>11.75</v>
      </c>
      <c r="Z965" s="50">
        <v>26.5</v>
      </c>
      <c r="AA965" s="50">
        <v>5.09</v>
      </c>
      <c r="AB965" s="50"/>
      <c r="AC965" s="50"/>
      <c r="AD965" s="50"/>
      <c r="AE965" s="50"/>
      <c r="AF965" s="50"/>
      <c r="AG965" s="50"/>
      <c r="AH965" s="50"/>
      <c r="AI965" s="50"/>
      <c r="AJ965" s="50"/>
    </row>
    <row r="966" spans="1:36" ht="15" customHeight="1" x14ac:dyDescent="0.25">
      <c r="A966" s="50">
        <v>193</v>
      </c>
      <c r="B966" s="50" t="s">
        <v>926</v>
      </c>
      <c r="C966" s="50" t="s">
        <v>1352</v>
      </c>
      <c r="D966" s="50">
        <v>36</v>
      </c>
      <c r="E966" s="50" t="s">
        <v>1360</v>
      </c>
      <c r="F966" s="50">
        <v>21</v>
      </c>
      <c r="G966" s="50">
        <v>5.6</v>
      </c>
      <c r="H966" s="50">
        <v>39</v>
      </c>
      <c r="I966" s="50">
        <v>3.45</v>
      </c>
      <c r="J966" s="50">
        <v>96</v>
      </c>
      <c r="K966" s="50">
        <v>85</v>
      </c>
      <c r="L966" s="50">
        <v>5.42</v>
      </c>
      <c r="M966" s="50">
        <v>4.8</v>
      </c>
      <c r="N966" s="50">
        <v>39</v>
      </c>
      <c r="O966" s="50">
        <v>8.9</v>
      </c>
      <c r="P966" s="50">
        <v>9.3000000000000007</v>
      </c>
      <c r="Q966" s="50">
        <v>48.7</v>
      </c>
      <c r="R966" s="50">
        <v>38.299999999999997</v>
      </c>
      <c r="S966" s="50">
        <v>26.9</v>
      </c>
      <c r="T966" s="50">
        <v>53</v>
      </c>
      <c r="U966" s="50">
        <v>7.34</v>
      </c>
      <c r="V966" s="50">
        <v>66</v>
      </c>
      <c r="W966" s="50">
        <v>33</v>
      </c>
      <c r="X966" s="50">
        <v>504</v>
      </c>
      <c r="Y966" s="50">
        <v>11.31</v>
      </c>
      <c r="Z966" s="50">
        <v>27.6</v>
      </c>
      <c r="AA966" s="50">
        <v>5.29</v>
      </c>
      <c r="AB966" s="50"/>
      <c r="AC966" s="50"/>
      <c r="AD966" s="50"/>
      <c r="AE966" s="50"/>
      <c r="AF966" s="50"/>
      <c r="AG966" s="50"/>
      <c r="AH966" s="50"/>
      <c r="AI966" s="50"/>
      <c r="AJ966" s="50"/>
    </row>
    <row r="967" spans="1:36" ht="15" customHeight="1" x14ac:dyDescent="0.25">
      <c r="A967" s="50">
        <v>194</v>
      </c>
      <c r="B967" s="50" t="s">
        <v>926</v>
      </c>
      <c r="C967" s="50" t="s">
        <v>1352</v>
      </c>
      <c r="D967" s="50">
        <v>27</v>
      </c>
      <c r="E967" s="50" t="s">
        <v>1359</v>
      </c>
      <c r="F967" s="50">
        <v>0</v>
      </c>
      <c r="G967" s="50">
        <v>7</v>
      </c>
      <c r="H967" s="50">
        <v>51</v>
      </c>
      <c r="I967" s="50">
        <v>3.32</v>
      </c>
      <c r="J967" s="50">
        <v>102</v>
      </c>
      <c r="K967" s="50">
        <v>100</v>
      </c>
      <c r="L967" s="50">
        <v>6.52</v>
      </c>
      <c r="M967" s="50">
        <v>5.37</v>
      </c>
      <c r="N967" s="50">
        <v>36</v>
      </c>
      <c r="O967" s="50">
        <v>12.7</v>
      </c>
      <c r="P967" s="50">
        <v>9.9</v>
      </c>
      <c r="Q967" s="50">
        <v>39.4</v>
      </c>
      <c r="R967" s="50">
        <v>24.8</v>
      </c>
      <c r="S967" s="50">
        <v>17.100000000000001</v>
      </c>
      <c r="T967" s="50">
        <v>33</v>
      </c>
      <c r="U967" s="50">
        <v>12.77</v>
      </c>
      <c r="V967" s="50">
        <v>56.2</v>
      </c>
      <c r="W967" s="50">
        <v>39</v>
      </c>
      <c r="X967" s="50">
        <v>401</v>
      </c>
      <c r="Y967" s="50">
        <v>14.02</v>
      </c>
      <c r="Z967" s="50">
        <v>21.4</v>
      </c>
      <c r="AA967" s="50">
        <v>4.72</v>
      </c>
      <c r="AB967" s="50"/>
      <c r="AC967" s="50"/>
      <c r="AD967" s="50"/>
      <c r="AE967" s="50"/>
      <c r="AF967" s="50"/>
      <c r="AG967" s="50"/>
      <c r="AH967" s="50"/>
      <c r="AI967" s="50"/>
      <c r="AJ967" s="50"/>
    </row>
    <row r="968" spans="1:36" ht="15" customHeight="1" x14ac:dyDescent="0.25">
      <c r="A968" s="50">
        <v>194</v>
      </c>
      <c r="B968" s="50" t="s">
        <v>926</v>
      </c>
      <c r="C968" s="50" t="s">
        <v>1352</v>
      </c>
      <c r="D968" s="50">
        <v>27</v>
      </c>
      <c r="E968" s="50" t="s">
        <v>1359</v>
      </c>
      <c r="F968" s="50">
        <v>4</v>
      </c>
      <c r="G968" s="50">
        <v>6.5</v>
      </c>
      <c r="H968" s="50">
        <v>53</v>
      </c>
      <c r="I968" s="50">
        <v>3.13</v>
      </c>
      <c r="J968" s="50">
        <v>100</v>
      </c>
      <c r="K968" s="50">
        <v>97</v>
      </c>
      <c r="L968" s="50">
        <v>5.93</v>
      </c>
      <c r="M968" s="50">
        <v>5.04</v>
      </c>
      <c r="N968" s="50">
        <v>36</v>
      </c>
      <c r="O968" s="50">
        <v>11.8</v>
      </c>
      <c r="P968" s="50">
        <v>9.8000000000000007</v>
      </c>
      <c r="Q968" s="50">
        <v>38.799999999999997</v>
      </c>
      <c r="R968" s="50">
        <v>29.2</v>
      </c>
      <c r="S968" s="50">
        <v>19.2</v>
      </c>
      <c r="T968" s="50">
        <v>34</v>
      </c>
      <c r="U968" s="50">
        <v>12.38</v>
      </c>
      <c r="V968" s="50">
        <v>56.7</v>
      </c>
      <c r="W968" s="50">
        <v>44</v>
      </c>
      <c r="X968" s="50">
        <v>411</v>
      </c>
      <c r="Y968" s="50">
        <v>13.94</v>
      </c>
      <c r="Z968" s="50">
        <v>22.5</v>
      </c>
      <c r="AA968" s="50">
        <v>4.7300000000000004</v>
      </c>
      <c r="AB968" s="50"/>
      <c r="AC968" s="50"/>
      <c r="AD968" s="50"/>
      <c r="AE968" s="50"/>
      <c r="AF968" s="50"/>
      <c r="AG968" s="50"/>
      <c r="AH968" s="50"/>
      <c r="AI968" s="50"/>
      <c r="AJ968" s="50"/>
    </row>
    <row r="969" spans="1:36" ht="15" customHeight="1" x14ac:dyDescent="0.25">
      <c r="A969" s="50">
        <v>194</v>
      </c>
      <c r="B969" s="50" t="s">
        <v>926</v>
      </c>
      <c r="C969" s="50" t="s">
        <v>1352</v>
      </c>
      <c r="D969" s="50">
        <v>27</v>
      </c>
      <c r="E969" s="50" t="s">
        <v>1359</v>
      </c>
      <c r="F969" s="50">
        <v>8</v>
      </c>
      <c r="G969" s="50">
        <v>6.5</v>
      </c>
      <c r="H969" s="50">
        <v>51</v>
      </c>
      <c r="I969" s="50">
        <v>3.08</v>
      </c>
      <c r="J969" s="50">
        <v>98</v>
      </c>
      <c r="K969" s="50">
        <v>94</v>
      </c>
      <c r="L969" s="50">
        <v>6.05</v>
      </c>
      <c r="M969" s="50">
        <v>5.3</v>
      </c>
      <c r="N969" s="50">
        <v>37</v>
      </c>
      <c r="O969" s="50">
        <v>12.1</v>
      </c>
      <c r="P969" s="50">
        <v>10.199999999999999</v>
      </c>
      <c r="Q969" s="50">
        <v>37.4</v>
      </c>
      <c r="R969" s="50">
        <v>30.1</v>
      </c>
      <c r="S969" s="50">
        <v>19.5</v>
      </c>
      <c r="T969" s="50">
        <v>36</v>
      </c>
      <c r="U969" s="50">
        <v>12.09</v>
      </c>
      <c r="V969" s="50">
        <v>56.7</v>
      </c>
      <c r="W969" s="50">
        <v>47</v>
      </c>
      <c r="X969" s="50">
        <v>435</v>
      </c>
      <c r="Y969" s="50">
        <v>13.07</v>
      </c>
      <c r="Z969" s="50">
        <v>22.9</v>
      </c>
      <c r="AA969" s="50">
        <v>4.5599999999999996</v>
      </c>
      <c r="AB969" s="50"/>
      <c r="AC969" s="50"/>
      <c r="AD969" s="50"/>
      <c r="AE969" s="50"/>
      <c r="AF969" s="50"/>
      <c r="AG969" s="50"/>
      <c r="AH969" s="50"/>
      <c r="AI969" s="50"/>
      <c r="AJ969" s="50"/>
    </row>
    <row r="970" spans="1:36" ht="15" customHeight="1" x14ac:dyDescent="0.25">
      <c r="A970" s="50">
        <v>194</v>
      </c>
      <c r="B970" s="50" t="s">
        <v>926</v>
      </c>
      <c r="C970" s="50" t="s">
        <v>1352</v>
      </c>
      <c r="D970" s="50">
        <v>27</v>
      </c>
      <c r="E970" s="50" t="s">
        <v>1359</v>
      </c>
      <c r="F970" s="50">
        <v>12</v>
      </c>
      <c r="G970" s="50">
        <v>5.9</v>
      </c>
      <c r="H970" s="50">
        <v>48</v>
      </c>
      <c r="I970" s="50">
        <v>3.01</v>
      </c>
      <c r="J970" s="50">
        <v>105</v>
      </c>
      <c r="K970" s="50">
        <v>91</v>
      </c>
      <c r="L970" s="50">
        <v>5.68</v>
      </c>
      <c r="M970" s="50">
        <v>5.03</v>
      </c>
      <c r="N970" s="50">
        <v>34</v>
      </c>
      <c r="O970" s="50">
        <v>12.4</v>
      </c>
      <c r="P970" s="50">
        <v>9.1</v>
      </c>
      <c r="Q970" s="50">
        <v>37.6</v>
      </c>
      <c r="R970" s="50">
        <v>33.799999999999997</v>
      </c>
      <c r="S970" s="50">
        <v>24.6</v>
      </c>
      <c r="T970" s="50">
        <v>38</v>
      </c>
      <c r="U970" s="50">
        <v>10.85</v>
      </c>
      <c r="V970" s="50">
        <v>58.2</v>
      </c>
      <c r="W970" s="50">
        <v>47</v>
      </c>
      <c r="X970" s="50">
        <v>428</v>
      </c>
      <c r="Y970" s="50">
        <v>13.11</v>
      </c>
      <c r="Z970" s="50">
        <v>24.7</v>
      </c>
      <c r="AA970" s="50">
        <v>5.0199999999999996</v>
      </c>
      <c r="AB970" s="50"/>
      <c r="AC970" s="50"/>
      <c r="AD970" s="50"/>
      <c r="AE970" s="50"/>
      <c r="AF970" s="50"/>
      <c r="AG970" s="50"/>
      <c r="AH970" s="50"/>
      <c r="AI970" s="50"/>
      <c r="AJ970" s="50"/>
    </row>
    <row r="971" spans="1:36" ht="15" customHeight="1" x14ac:dyDescent="0.25">
      <c r="A971" s="50">
        <v>194</v>
      </c>
      <c r="B971" s="50" t="s">
        <v>926</v>
      </c>
      <c r="C971" s="50" t="s">
        <v>1352</v>
      </c>
      <c r="D971" s="50">
        <v>27</v>
      </c>
      <c r="E971" s="50" t="s">
        <v>1359</v>
      </c>
      <c r="F971" s="50">
        <v>21</v>
      </c>
      <c r="G971" s="50">
        <v>5.0999999999999996</v>
      </c>
      <c r="H971" s="50">
        <v>48</v>
      </c>
      <c r="I971" s="50">
        <v>2.76</v>
      </c>
      <c r="J971" s="50">
        <v>109</v>
      </c>
      <c r="K971" s="50">
        <v>85</v>
      </c>
      <c r="L971" s="50">
        <v>5.0599999999999996</v>
      </c>
      <c r="M971" s="50">
        <v>4.7300000000000004</v>
      </c>
      <c r="N971" s="50">
        <v>33</v>
      </c>
      <c r="O971" s="50">
        <v>11.1</v>
      </c>
      <c r="P971" s="50">
        <v>8.9</v>
      </c>
      <c r="Q971" s="50">
        <v>32.799999999999997</v>
      </c>
      <c r="R971" s="50">
        <v>41.4</v>
      </c>
      <c r="S971" s="50">
        <v>25.2</v>
      </c>
      <c r="T971" s="50">
        <v>47</v>
      </c>
      <c r="U971" s="50">
        <v>10.68</v>
      </c>
      <c r="V971" s="50">
        <v>60.4</v>
      </c>
      <c r="W971" s="50">
        <v>52</v>
      </c>
      <c r="X971" s="50">
        <v>443</v>
      </c>
      <c r="Y971" s="50">
        <v>12.61</v>
      </c>
      <c r="Z971" s="50">
        <v>28.2</v>
      </c>
      <c r="AA971" s="50">
        <v>4.99</v>
      </c>
      <c r="AB971" s="50"/>
      <c r="AC971" s="50"/>
      <c r="AD971" s="50"/>
      <c r="AE971" s="50"/>
      <c r="AF971" s="50"/>
      <c r="AG971" s="50"/>
      <c r="AH971" s="50"/>
      <c r="AI971" s="50"/>
      <c r="AJ971" s="50"/>
    </row>
    <row r="972" spans="1:36" ht="15" customHeight="1" x14ac:dyDescent="0.25">
      <c r="A972" s="50">
        <v>195</v>
      </c>
      <c r="B972" s="50" t="s">
        <v>926</v>
      </c>
      <c r="C972" s="50" t="s">
        <v>1352</v>
      </c>
      <c r="D972" s="50">
        <v>45</v>
      </c>
      <c r="E972" s="50" t="s">
        <v>1355</v>
      </c>
      <c r="F972" s="50">
        <v>0</v>
      </c>
      <c r="G972" s="50">
        <v>6.9</v>
      </c>
      <c r="H972" s="50">
        <v>42</v>
      </c>
      <c r="I972" s="50">
        <v>3.18</v>
      </c>
      <c r="J972" s="50">
        <v>96</v>
      </c>
      <c r="K972" s="50">
        <v>100</v>
      </c>
      <c r="L972" s="50">
        <v>7.66</v>
      </c>
      <c r="M972" s="50">
        <v>6.35</v>
      </c>
      <c r="N972" s="50">
        <v>40</v>
      </c>
      <c r="O972" s="50">
        <v>11.9</v>
      </c>
      <c r="P972" s="50">
        <v>9.8000000000000007</v>
      </c>
      <c r="Q972" s="50">
        <v>36.4</v>
      </c>
      <c r="R972" s="50">
        <v>38.700000000000003</v>
      </c>
      <c r="S972" s="50">
        <v>14.1</v>
      </c>
      <c r="T972" s="50">
        <v>33</v>
      </c>
      <c r="U972" s="50">
        <v>9.2200000000000006</v>
      </c>
      <c r="V972" s="50">
        <v>62.7</v>
      </c>
      <c r="W972" s="50">
        <v>48</v>
      </c>
      <c r="X972" s="50">
        <v>334</v>
      </c>
      <c r="Y972" s="50">
        <v>13.86</v>
      </c>
      <c r="Z972" s="50">
        <v>26.5</v>
      </c>
      <c r="AA972" s="50">
        <v>5.78</v>
      </c>
      <c r="AB972" s="50"/>
      <c r="AC972" s="50"/>
      <c r="AD972" s="50"/>
      <c r="AE972" s="50"/>
      <c r="AF972" s="50"/>
      <c r="AG972" s="50"/>
      <c r="AH972" s="50"/>
      <c r="AI972" s="50"/>
      <c r="AJ972" s="50"/>
    </row>
    <row r="973" spans="1:36" ht="15" customHeight="1" x14ac:dyDescent="0.25">
      <c r="A973" s="50">
        <v>195</v>
      </c>
      <c r="B973" s="50" t="s">
        <v>926</v>
      </c>
      <c r="C973" s="50" t="s">
        <v>1352</v>
      </c>
      <c r="D973" s="50">
        <v>45</v>
      </c>
      <c r="E973" s="50" t="s">
        <v>1355</v>
      </c>
      <c r="F973" s="50">
        <v>4</v>
      </c>
      <c r="G973" s="50">
        <v>6.7</v>
      </c>
      <c r="H973" s="50">
        <v>39</v>
      </c>
      <c r="I973" s="50">
        <v>3.15</v>
      </c>
      <c r="J973" s="50">
        <v>99</v>
      </c>
      <c r="K973" s="50">
        <v>97</v>
      </c>
      <c r="L973" s="50">
        <v>7.36</v>
      </c>
      <c r="M973" s="50">
        <v>6</v>
      </c>
      <c r="N973" s="50">
        <v>41</v>
      </c>
      <c r="O973" s="50">
        <v>10.6</v>
      </c>
      <c r="P973" s="50">
        <v>10.1</v>
      </c>
      <c r="Q973" s="50">
        <v>37</v>
      </c>
      <c r="R973" s="50">
        <v>40.200000000000003</v>
      </c>
      <c r="S973" s="50">
        <v>14.7</v>
      </c>
      <c r="T973" s="50">
        <v>34</v>
      </c>
      <c r="U973" s="50">
        <v>10.01</v>
      </c>
      <c r="V973" s="50">
        <v>64.099999999999994</v>
      </c>
      <c r="W973" s="50">
        <v>47</v>
      </c>
      <c r="X973" s="50">
        <v>344</v>
      </c>
      <c r="Y973" s="50">
        <v>13.59</v>
      </c>
      <c r="Z973" s="50">
        <v>28.3</v>
      </c>
      <c r="AA973" s="50">
        <v>5.96</v>
      </c>
      <c r="AB973" s="50"/>
      <c r="AC973" s="50"/>
      <c r="AD973" s="50"/>
      <c r="AE973" s="50"/>
      <c r="AF973" s="50"/>
      <c r="AG973" s="50"/>
      <c r="AH973" s="50"/>
      <c r="AI973" s="50"/>
      <c r="AJ973" s="50"/>
    </row>
    <row r="974" spans="1:36" ht="15" customHeight="1" x14ac:dyDescent="0.25">
      <c r="A974" s="50">
        <v>195</v>
      </c>
      <c r="B974" s="50" t="s">
        <v>926</v>
      </c>
      <c r="C974" s="50" t="s">
        <v>1352</v>
      </c>
      <c r="D974" s="50">
        <v>45</v>
      </c>
      <c r="E974" s="50" t="s">
        <v>1355</v>
      </c>
      <c r="F974" s="50">
        <v>8</v>
      </c>
      <c r="G974" s="50">
        <v>6</v>
      </c>
      <c r="H974" s="50">
        <v>39</v>
      </c>
      <c r="I974" s="50">
        <v>2.99</v>
      </c>
      <c r="J974" s="50">
        <v>101</v>
      </c>
      <c r="K974" s="50">
        <v>94</v>
      </c>
      <c r="L974" s="50">
        <v>6.57</v>
      </c>
      <c r="M974" s="50">
        <v>5.55</v>
      </c>
      <c r="N974" s="50">
        <v>39</v>
      </c>
      <c r="O974" s="50">
        <v>10.1</v>
      </c>
      <c r="P974" s="50">
        <v>9.3000000000000007</v>
      </c>
      <c r="Q974" s="50">
        <v>33.299999999999997</v>
      </c>
      <c r="R974" s="50">
        <v>40.700000000000003</v>
      </c>
      <c r="S974" s="50">
        <v>16.8</v>
      </c>
      <c r="T974" s="50">
        <v>38</v>
      </c>
      <c r="U974" s="50">
        <v>8.5500000000000007</v>
      </c>
      <c r="V974" s="50">
        <v>63.4</v>
      </c>
      <c r="W974" s="50">
        <v>55</v>
      </c>
      <c r="X974" s="50">
        <v>372</v>
      </c>
      <c r="Y974" s="50">
        <v>13.18</v>
      </c>
      <c r="Z974" s="50">
        <v>29.5</v>
      </c>
      <c r="AA974" s="50">
        <v>5.99</v>
      </c>
      <c r="AB974" s="50"/>
      <c r="AC974" s="50"/>
      <c r="AD974" s="50"/>
      <c r="AE974" s="50"/>
      <c r="AF974" s="50"/>
      <c r="AG974" s="50"/>
      <c r="AH974" s="50"/>
      <c r="AI974" s="50"/>
      <c r="AJ974" s="50"/>
    </row>
    <row r="975" spans="1:36" ht="15" customHeight="1" x14ac:dyDescent="0.25">
      <c r="A975" s="50">
        <v>195</v>
      </c>
      <c r="B975" s="50" t="s">
        <v>926</v>
      </c>
      <c r="C975" s="50" t="s">
        <v>1352</v>
      </c>
      <c r="D975" s="50">
        <v>45</v>
      </c>
      <c r="E975" s="50" t="s">
        <v>1355</v>
      </c>
      <c r="F975" s="50">
        <v>12</v>
      </c>
      <c r="G975" s="50">
        <v>5.8</v>
      </c>
      <c r="H975" s="50">
        <v>37</v>
      </c>
      <c r="I975" s="50">
        <v>2.92</v>
      </c>
      <c r="J975" s="50">
        <v>99</v>
      </c>
      <c r="K975" s="50">
        <v>91</v>
      </c>
      <c r="L975" s="50">
        <v>6.31</v>
      </c>
      <c r="M975" s="50">
        <v>5.43</v>
      </c>
      <c r="N975" s="50">
        <v>38</v>
      </c>
      <c r="O975" s="50">
        <v>10.199999999999999</v>
      </c>
      <c r="P975" s="50">
        <v>8.6</v>
      </c>
      <c r="Q975" s="50">
        <v>35.799999999999997</v>
      </c>
      <c r="R975" s="50">
        <v>43.4</v>
      </c>
      <c r="S975" s="50">
        <v>18</v>
      </c>
      <c r="T975" s="50">
        <v>37</v>
      </c>
      <c r="U975" s="50">
        <v>8.6</v>
      </c>
      <c r="V975" s="50">
        <v>62.6</v>
      </c>
      <c r="W975" s="50">
        <v>49</v>
      </c>
      <c r="X975" s="50">
        <v>368</v>
      </c>
      <c r="Y975" s="50">
        <v>13.33</v>
      </c>
      <c r="Z975" s="50">
        <v>30.4</v>
      </c>
      <c r="AA975" s="50">
        <v>6.02</v>
      </c>
      <c r="AB975" s="50"/>
      <c r="AC975" s="50"/>
      <c r="AD975" s="50"/>
      <c r="AE975" s="50"/>
      <c r="AF975" s="50"/>
      <c r="AG975" s="50"/>
      <c r="AH975" s="50"/>
      <c r="AI975" s="50"/>
      <c r="AJ975" s="50"/>
    </row>
    <row r="976" spans="1:36" ht="15" customHeight="1" x14ac:dyDescent="0.25">
      <c r="A976" s="50">
        <v>195</v>
      </c>
      <c r="B976" s="50" t="s">
        <v>926</v>
      </c>
      <c r="C976" s="50" t="s">
        <v>1352</v>
      </c>
      <c r="D976" s="50">
        <v>45</v>
      </c>
      <c r="E976" s="50" t="s">
        <v>1355</v>
      </c>
      <c r="F976" s="50">
        <v>21</v>
      </c>
      <c r="G976" s="50">
        <v>5.2</v>
      </c>
      <c r="H976" s="50">
        <v>35</v>
      </c>
      <c r="I976" s="50">
        <v>2.72</v>
      </c>
      <c r="J976" s="50">
        <v>108</v>
      </c>
      <c r="K976" s="50">
        <v>85</v>
      </c>
      <c r="L976" s="50">
        <v>5.56</v>
      </c>
      <c r="M976" s="50">
        <v>4.92</v>
      </c>
      <c r="N976" s="50">
        <v>34</v>
      </c>
      <c r="O976" s="50">
        <v>9.6</v>
      </c>
      <c r="P976" s="50">
        <v>8.6</v>
      </c>
      <c r="Q976" s="50">
        <v>32.799999999999997</v>
      </c>
      <c r="R976" s="50">
        <v>46.5</v>
      </c>
      <c r="S976" s="50">
        <v>22.4</v>
      </c>
      <c r="T976" s="50">
        <v>44</v>
      </c>
      <c r="U976" s="50">
        <v>8.16</v>
      </c>
      <c r="V976" s="50">
        <v>66.2</v>
      </c>
      <c r="W976" s="50">
        <v>53</v>
      </c>
      <c r="X976" s="50">
        <v>406</v>
      </c>
      <c r="Y976" s="50">
        <v>12.11</v>
      </c>
      <c r="Z976" s="50">
        <v>31.1</v>
      </c>
      <c r="AA976" s="50">
        <v>6.41</v>
      </c>
      <c r="AB976" s="50"/>
      <c r="AC976" s="50"/>
      <c r="AD976" s="50"/>
      <c r="AE976" s="50"/>
      <c r="AF976" s="50"/>
      <c r="AG976" s="50"/>
      <c r="AH976" s="50"/>
      <c r="AI976" s="50"/>
      <c r="AJ976" s="50"/>
    </row>
  </sheetData>
  <sheetProtection password="EBB1" sheet="1" formatColumns="0" formatRows="0" sort="0" autoFilter="0"/>
  <mergeCells count="7">
    <mergeCell ref="AC15:AJ15"/>
    <mergeCell ref="AC18:AJ18"/>
    <mergeCell ref="AC1:AJ1"/>
    <mergeCell ref="AC3:AJ3"/>
    <mergeCell ref="AC5:AJ5"/>
    <mergeCell ref="AC8:AJ8"/>
    <mergeCell ref="AC11:AJ11"/>
  </mergeCells>
  <pageMargins left="0.7" right="0.7" top="0.75" bottom="0.75"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K143"/>
  <sheetViews>
    <sheetView zoomScaleNormal="100" workbookViewId="0">
      <selection activeCell="Q26" sqref="Q26"/>
    </sheetView>
  </sheetViews>
  <sheetFormatPr defaultColWidth="8.7109375" defaultRowHeight="15" x14ac:dyDescent="0.25"/>
  <cols>
    <col min="3" max="3" width="4" style="15" customWidth="1"/>
    <col min="4" max="4" width="26" style="15" customWidth="1"/>
    <col min="5" max="5" width="46" style="15" customWidth="1"/>
    <col min="6" max="6" width="42" style="15" customWidth="1"/>
    <col min="7" max="7" width="12" style="15" customWidth="1"/>
    <col min="8" max="8" width="8" style="15" customWidth="1"/>
  </cols>
  <sheetData>
    <row r="2" spans="3:11" ht="26.25" customHeight="1" x14ac:dyDescent="0.25">
      <c r="C2" s="41" t="s">
        <v>1361</v>
      </c>
    </row>
    <row r="3" spans="3:11" ht="15" customHeight="1" x14ac:dyDescent="0.25">
      <c r="C3" s="44"/>
    </row>
    <row r="4" spans="3:11" ht="16.5" customHeight="1" x14ac:dyDescent="0.25">
      <c r="C4" s="45" t="s">
        <v>1362</v>
      </c>
      <c r="K4" s="15" t="s">
        <v>1363</v>
      </c>
    </row>
    <row r="5" spans="3:11" ht="16.5" customHeight="1" x14ac:dyDescent="0.25">
      <c r="C5" s="45" t="s">
        <v>1364</v>
      </c>
    </row>
    <row r="6" spans="3:11" ht="16.5" customHeight="1" x14ac:dyDescent="0.25">
      <c r="C6" s="45" t="s">
        <v>1365</v>
      </c>
    </row>
    <row r="7" spans="3:11" ht="16.5" customHeight="1" x14ac:dyDescent="0.25">
      <c r="C7" s="45" t="s">
        <v>1366</v>
      </c>
    </row>
    <row r="8" spans="3:11" ht="16.5" customHeight="1" x14ac:dyDescent="0.25">
      <c r="C8" s="45" t="s">
        <v>1367</v>
      </c>
    </row>
    <row r="9" spans="3:11" ht="16.5" customHeight="1" x14ac:dyDescent="0.25">
      <c r="C9" s="45" t="s">
        <v>1368</v>
      </c>
    </row>
    <row r="10" spans="3:11" ht="16.5" customHeight="1" x14ac:dyDescent="0.25">
      <c r="C10" s="45" t="s">
        <v>1369</v>
      </c>
    </row>
    <row r="11" spans="3:11" ht="16.5" customHeight="1" x14ac:dyDescent="0.25">
      <c r="C11" s="45" t="s">
        <v>1370</v>
      </c>
    </row>
    <row r="13" spans="3:11" ht="15" customHeight="1" x14ac:dyDescent="0.25">
      <c r="D13" s="15" t="s">
        <v>1371</v>
      </c>
    </row>
    <row r="14" spans="3:11" ht="15" customHeight="1" x14ac:dyDescent="0.25">
      <c r="C14" s="15">
        <v>1</v>
      </c>
      <c r="D14" s="15" t="s">
        <v>1372</v>
      </c>
    </row>
    <row r="15" spans="3:11" ht="15" customHeight="1" x14ac:dyDescent="0.25">
      <c r="C15" s="15">
        <v>2</v>
      </c>
      <c r="D15" s="15" t="s">
        <v>1373</v>
      </c>
    </row>
    <row r="16" spans="3:11" ht="15" customHeight="1" x14ac:dyDescent="0.25">
      <c r="C16" s="15">
        <v>3</v>
      </c>
      <c r="D16" s="15" t="s">
        <v>1374</v>
      </c>
    </row>
    <row r="17" spans="3:4" ht="15" customHeight="1" x14ac:dyDescent="0.25">
      <c r="C17" s="15">
        <v>4</v>
      </c>
      <c r="D17" s="15" t="s">
        <v>1375</v>
      </c>
    </row>
    <row r="18" spans="3:4" ht="15" customHeight="1" x14ac:dyDescent="0.25">
      <c r="C18" s="15">
        <v>5</v>
      </c>
      <c r="D18" s="15" t="s">
        <v>1376</v>
      </c>
    </row>
    <row r="19" spans="3:4" ht="15" customHeight="1" x14ac:dyDescent="0.25">
      <c r="C19" s="15">
        <v>6</v>
      </c>
      <c r="D19" s="15" t="s">
        <v>1377</v>
      </c>
    </row>
    <row r="20" spans="3:4" ht="15" customHeight="1" x14ac:dyDescent="0.25">
      <c r="C20" s="15">
        <v>7</v>
      </c>
      <c r="D20" s="15" t="s">
        <v>1378</v>
      </c>
    </row>
    <row r="21" spans="3:4" ht="15" customHeight="1" x14ac:dyDescent="0.25">
      <c r="C21" s="15">
        <v>8</v>
      </c>
      <c r="D21" s="15" t="s">
        <v>1379</v>
      </c>
    </row>
    <row r="22" spans="3:4" ht="15" customHeight="1" x14ac:dyDescent="0.25">
      <c r="C22" s="15">
        <v>9</v>
      </c>
      <c r="D22" s="15" t="s">
        <v>1380</v>
      </c>
    </row>
    <row r="23" spans="3:4" ht="15" customHeight="1" x14ac:dyDescent="0.25">
      <c r="C23" s="15">
        <v>10</v>
      </c>
      <c r="D23" s="15" t="s">
        <v>1381</v>
      </c>
    </row>
    <row r="24" spans="3:4" ht="15" customHeight="1" x14ac:dyDescent="0.25">
      <c r="C24" s="15">
        <v>11</v>
      </c>
      <c r="D24" s="15" t="s">
        <v>1382</v>
      </c>
    </row>
    <row r="25" spans="3:4" ht="15" customHeight="1" x14ac:dyDescent="0.25">
      <c r="C25" s="15">
        <v>12</v>
      </c>
      <c r="D25" s="15" t="s">
        <v>1383</v>
      </c>
    </row>
    <row r="26" spans="3:4" ht="15" customHeight="1" x14ac:dyDescent="0.25">
      <c r="C26" s="15">
        <v>13</v>
      </c>
      <c r="D26" s="15" t="s">
        <v>1384</v>
      </c>
    </row>
    <row r="27" spans="3:4" ht="15" customHeight="1" x14ac:dyDescent="0.25">
      <c r="C27" s="15">
        <v>14</v>
      </c>
      <c r="D27" s="15" t="s">
        <v>1385</v>
      </c>
    </row>
    <row r="28" spans="3:4" ht="15" customHeight="1" x14ac:dyDescent="0.25">
      <c r="C28" s="15">
        <v>15</v>
      </c>
      <c r="D28" s="15" t="s">
        <v>1386</v>
      </c>
    </row>
    <row r="29" spans="3:4" ht="15" customHeight="1" x14ac:dyDescent="0.25">
      <c r="C29" s="15">
        <v>16</v>
      </c>
      <c r="D29" s="15" t="s">
        <v>1387</v>
      </c>
    </row>
    <row r="30" spans="3:4" ht="15" customHeight="1" x14ac:dyDescent="0.25">
      <c r="C30" s="15">
        <v>17</v>
      </c>
      <c r="D30" s="15" t="s">
        <v>1388</v>
      </c>
    </row>
    <row r="31" spans="3:4" ht="15" customHeight="1" x14ac:dyDescent="0.25">
      <c r="C31" s="15">
        <v>18</v>
      </c>
      <c r="D31" s="15" t="s">
        <v>1389</v>
      </c>
    </row>
    <row r="32" spans="3:4" ht="15" customHeight="1" x14ac:dyDescent="0.25">
      <c r="C32" s="15">
        <v>19</v>
      </c>
      <c r="D32" s="15" t="s">
        <v>1390</v>
      </c>
    </row>
    <row r="33" spans="3:4" ht="15" customHeight="1" x14ac:dyDescent="0.25">
      <c r="C33" s="15">
        <v>20</v>
      </c>
      <c r="D33" s="15" t="s">
        <v>1391</v>
      </c>
    </row>
    <row r="34" spans="3:4" ht="15" customHeight="1" x14ac:dyDescent="0.25">
      <c r="C34" s="15">
        <v>21</v>
      </c>
      <c r="D34" s="15" t="s">
        <v>1392</v>
      </c>
    </row>
    <row r="35" spans="3:4" ht="15" customHeight="1" x14ac:dyDescent="0.25">
      <c r="C35" s="15">
        <v>22</v>
      </c>
      <c r="D35" s="15" t="s">
        <v>1393</v>
      </c>
    </row>
    <row r="36" spans="3:4" ht="15" customHeight="1" x14ac:dyDescent="0.25">
      <c r="C36" s="15">
        <v>23</v>
      </c>
      <c r="D36" s="15" t="s">
        <v>1394</v>
      </c>
    </row>
    <row r="37" spans="3:4" ht="15" customHeight="1" x14ac:dyDescent="0.25">
      <c r="C37" s="15">
        <v>24</v>
      </c>
      <c r="D37" s="15" t="s">
        <v>1395</v>
      </c>
    </row>
    <row r="38" spans="3:4" ht="15" customHeight="1" x14ac:dyDescent="0.25">
      <c r="C38" s="15">
        <v>25</v>
      </c>
      <c r="D38" s="15" t="s">
        <v>1396</v>
      </c>
    </row>
    <row r="39" spans="3:4" ht="15" customHeight="1" x14ac:dyDescent="0.25">
      <c r="C39" s="15">
        <v>26</v>
      </c>
      <c r="D39" s="15" t="s">
        <v>1397</v>
      </c>
    </row>
    <row r="40" spans="3:4" ht="15" customHeight="1" x14ac:dyDescent="0.25">
      <c r="C40" s="15">
        <v>27</v>
      </c>
      <c r="D40" s="15" t="s">
        <v>1398</v>
      </c>
    </row>
    <row r="41" spans="3:4" ht="15" customHeight="1" x14ac:dyDescent="0.25">
      <c r="C41" s="15">
        <v>28</v>
      </c>
      <c r="D41" s="15" t="s">
        <v>1399</v>
      </c>
    </row>
    <row r="42" spans="3:4" ht="15" customHeight="1" x14ac:dyDescent="0.25">
      <c r="C42" s="15">
        <v>29</v>
      </c>
      <c r="D42" s="15" t="s">
        <v>1400</v>
      </c>
    </row>
    <row r="43" spans="3:4" ht="15" customHeight="1" x14ac:dyDescent="0.25">
      <c r="C43" s="15">
        <v>30</v>
      </c>
      <c r="D43" s="15" t="s">
        <v>1401</v>
      </c>
    </row>
    <row r="44" spans="3:4" ht="15" customHeight="1" x14ac:dyDescent="0.25">
      <c r="C44" s="15">
        <v>31</v>
      </c>
      <c r="D44" s="15" t="s">
        <v>1402</v>
      </c>
    </row>
    <row r="45" spans="3:4" ht="15" customHeight="1" x14ac:dyDescent="0.25">
      <c r="C45" s="15">
        <v>32</v>
      </c>
      <c r="D45" s="15" t="s">
        <v>1403</v>
      </c>
    </row>
    <row r="46" spans="3:4" ht="15" customHeight="1" x14ac:dyDescent="0.25">
      <c r="C46" s="15">
        <v>33</v>
      </c>
      <c r="D46" s="15" t="s">
        <v>1404</v>
      </c>
    </row>
    <row r="47" spans="3:4" ht="15" customHeight="1" x14ac:dyDescent="0.25">
      <c r="C47" s="15">
        <v>34</v>
      </c>
      <c r="D47" s="15" t="s">
        <v>1405</v>
      </c>
    </row>
    <row r="48" spans="3:4" ht="15" customHeight="1" x14ac:dyDescent="0.25">
      <c r="C48" s="15">
        <v>35</v>
      </c>
      <c r="D48" s="15" t="s">
        <v>1406</v>
      </c>
    </row>
    <row r="49" spans="3:4" ht="15" customHeight="1" x14ac:dyDescent="0.25">
      <c r="C49" s="15">
        <v>36</v>
      </c>
      <c r="D49" s="15" t="s">
        <v>1407</v>
      </c>
    </row>
    <row r="50" spans="3:4" ht="15" customHeight="1" x14ac:dyDescent="0.25">
      <c r="C50" s="15">
        <v>37</v>
      </c>
      <c r="D50" s="15" t="s">
        <v>1408</v>
      </c>
    </row>
    <row r="51" spans="3:4" ht="15" customHeight="1" x14ac:dyDescent="0.25">
      <c r="C51" s="15">
        <v>38</v>
      </c>
      <c r="D51" s="15" t="s">
        <v>1409</v>
      </c>
    </row>
    <row r="52" spans="3:4" ht="15" customHeight="1" x14ac:dyDescent="0.25">
      <c r="C52" s="15">
        <v>39</v>
      </c>
      <c r="D52" s="15" t="s">
        <v>1410</v>
      </c>
    </row>
    <row r="53" spans="3:4" ht="15" customHeight="1" x14ac:dyDescent="0.25">
      <c r="C53" s="15">
        <v>40</v>
      </c>
      <c r="D53" s="15" t="s">
        <v>1411</v>
      </c>
    </row>
    <row r="54" spans="3:4" ht="15" customHeight="1" x14ac:dyDescent="0.25">
      <c r="C54" s="15">
        <v>41</v>
      </c>
      <c r="D54" s="15" t="s">
        <v>1412</v>
      </c>
    </row>
    <row r="55" spans="3:4" ht="15" customHeight="1" x14ac:dyDescent="0.25">
      <c r="C55" s="15">
        <v>42</v>
      </c>
      <c r="D55" s="15" t="s">
        <v>1413</v>
      </c>
    </row>
    <row r="56" spans="3:4" ht="15" customHeight="1" x14ac:dyDescent="0.25">
      <c r="C56" s="15">
        <v>43</v>
      </c>
      <c r="D56" s="15" t="s">
        <v>1414</v>
      </c>
    </row>
    <row r="57" spans="3:4" ht="15" customHeight="1" x14ac:dyDescent="0.25">
      <c r="C57" s="15">
        <v>44</v>
      </c>
      <c r="D57" s="15" t="s">
        <v>1415</v>
      </c>
    </row>
    <row r="58" spans="3:4" ht="15" customHeight="1" x14ac:dyDescent="0.25">
      <c r="C58" s="15">
        <v>45</v>
      </c>
      <c r="D58" s="15" t="s">
        <v>1416</v>
      </c>
    </row>
    <row r="59" spans="3:4" ht="15" customHeight="1" x14ac:dyDescent="0.25">
      <c r="C59" s="15">
        <v>46</v>
      </c>
      <c r="D59" s="15" t="s">
        <v>1417</v>
      </c>
    </row>
    <row r="60" spans="3:4" ht="15" customHeight="1" x14ac:dyDescent="0.25">
      <c r="C60" s="15">
        <v>47</v>
      </c>
      <c r="D60" s="15" t="s">
        <v>1418</v>
      </c>
    </row>
    <row r="61" spans="3:4" ht="15" customHeight="1" x14ac:dyDescent="0.25">
      <c r="C61" s="15">
        <v>48</v>
      </c>
      <c r="D61" s="15" t="s">
        <v>1419</v>
      </c>
    </row>
    <row r="62" spans="3:4" ht="15" customHeight="1" x14ac:dyDescent="0.25">
      <c r="C62" s="15">
        <v>49</v>
      </c>
      <c r="D62" s="15" t="s">
        <v>1420</v>
      </c>
    </row>
    <row r="63" spans="3:4" ht="15" customHeight="1" x14ac:dyDescent="0.25">
      <c r="C63" s="15">
        <v>50</v>
      </c>
      <c r="D63" s="15" t="s">
        <v>1421</v>
      </c>
    </row>
    <row r="64" spans="3:4" ht="15" customHeight="1" x14ac:dyDescent="0.25">
      <c r="C64" s="15">
        <v>51</v>
      </c>
      <c r="D64" s="15" t="s">
        <v>1422</v>
      </c>
    </row>
    <row r="65" spans="3:4" ht="15" customHeight="1" x14ac:dyDescent="0.25">
      <c r="C65" s="15">
        <v>52</v>
      </c>
      <c r="D65" s="15" t="s">
        <v>1423</v>
      </c>
    </row>
    <row r="66" spans="3:4" ht="15" customHeight="1" x14ac:dyDescent="0.25">
      <c r="C66" s="15">
        <v>53</v>
      </c>
      <c r="D66" s="15" t="s">
        <v>1424</v>
      </c>
    </row>
    <row r="67" spans="3:4" ht="15" customHeight="1" x14ac:dyDescent="0.25">
      <c r="C67" s="15">
        <v>54</v>
      </c>
      <c r="D67" s="15" t="s">
        <v>1425</v>
      </c>
    </row>
    <row r="68" spans="3:4" ht="15" customHeight="1" x14ac:dyDescent="0.25">
      <c r="C68" s="15">
        <v>55</v>
      </c>
      <c r="D68" s="15" t="s">
        <v>1426</v>
      </c>
    </row>
    <row r="69" spans="3:4" ht="15" customHeight="1" x14ac:dyDescent="0.25">
      <c r="C69" s="15">
        <v>56</v>
      </c>
      <c r="D69" s="15" t="s">
        <v>1427</v>
      </c>
    </row>
    <row r="70" spans="3:4" ht="15" customHeight="1" x14ac:dyDescent="0.25">
      <c r="C70" s="15">
        <v>57</v>
      </c>
      <c r="D70" s="15" t="s">
        <v>1428</v>
      </c>
    </row>
    <row r="71" spans="3:4" ht="15" customHeight="1" x14ac:dyDescent="0.25">
      <c r="C71" s="15">
        <v>58</v>
      </c>
      <c r="D71" s="15" t="s">
        <v>1429</v>
      </c>
    </row>
    <row r="72" spans="3:4" ht="15" customHeight="1" x14ac:dyDescent="0.25">
      <c r="C72" s="15">
        <v>59</v>
      </c>
      <c r="D72" s="15" t="s">
        <v>1430</v>
      </c>
    </row>
    <row r="73" spans="3:4" ht="15" customHeight="1" x14ac:dyDescent="0.25">
      <c r="C73" s="15">
        <v>60</v>
      </c>
      <c r="D73" s="15" t="s">
        <v>1431</v>
      </c>
    </row>
    <row r="74" spans="3:4" ht="15" customHeight="1" x14ac:dyDescent="0.25">
      <c r="C74" s="15">
        <v>61</v>
      </c>
      <c r="D74" s="15" t="s">
        <v>1432</v>
      </c>
    </row>
    <row r="75" spans="3:4" ht="15" customHeight="1" x14ac:dyDescent="0.25">
      <c r="C75" s="15">
        <v>62</v>
      </c>
      <c r="D75" s="15" t="s">
        <v>1433</v>
      </c>
    </row>
    <row r="76" spans="3:4" ht="15" customHeight="1" x14ac:dyDescent="0.25">
      <c r="C76" s="15">
        <v>63</v>
      </c>
      <c r="D76" s="15" t="s">
        <v>1434</v>
      </c>
    </row>
    <row r="77" spans="3:4" ht="15" customHeight="1" x14ac:dyDescent="0.25">
      <c r="C77" s="15">
        <v>64</v>
      </c>
      <c r="D77" s="15" t="s">
        <v>1435</v>
      </c>
    </row>
    <row r="78" spans="3:4" ht="15" customHeight="1" x14ac:dyDescent="0.25">
      <c r="C78" s="15">
        <v>65</v>
      </c>
      <c r="D78" s="15" t="s">
        <v>1436</v>
      </c>
    </row>
    <row r="79" spans="3:4" ht="15" customHeight="1" x14ac:dyDescent="0.25">
      <c r="C79" s="15">
        <v>66</v>
      </c>
      <c r="D79" s="15" t="s">
        <v>1437</v>
      </c>
    </row>
    <row r="80" spans="3:4" ht="15" customHeight="1" x14ac:dyDescent="0.25">
      <c r="C80" s="15">
        <v>67</v>
      </c>
      <c r="D80" s="15" t="s">
        <v>1438</v>
      </c>
    </row>
    <row r="81" spans="3:4" ht="15" customHeight="1" x14ac:dyDescent="0.25">
      <c r="C81" s="15">
        <v>68</v>
      </c>
      <c r="D81" s="15" t="s">
        <v>1439</v>
      </c>
    </row>
    <row r="82" spans="3:4" ht="15" customHeight="1" x14ac:dyDescent="0.25">
      <c r="C82" s="15">
        <v>69</v>
      </c>
      <c r="D82" s="15" t="s">
        <v>1440</v>
      </c>
    </row>
    <row r="83" spans="3:4" ht="15" customHeight="1" x14ac:dyDescent="0.25">
      <c r="C83" s="15">
        <v>70</v>
      </c>
      <c r="D83" s="15" t="s">
        <v>1441</v>
      </c>
    </row>
    <row r="84" spans="3:4" ht="15" customHeight="1" x14ac:dyDescent="0.25">
      <c r="C84" s="15">
        <v>71</v>
      </c>
      <c r="D84" s="15" t="s">
        <v>1442</v>
      </c>
    </row>
    <row r="85" spans="3:4" ht="15" customHeight="1" x14ac:dyDescent="0.25">
      <c r="C85" s="15">
        <v>72</v>
      </c>
      <c r="D85" s="15" t="s">
        <v>1443</v>
      </c>
    </row>
    <row r="86" spans="3:4" ht="15" customHeight="1" x14ac:dyDescent="0.25">
      <c r="C86" s="15">
        <v>73</v>
      </c>
      <c r="D86" s="15" t="s">
        <v>1444</v>
      </c>
    </row>
    <row r="87" spans="3:4" ht="15" customHeight="1" x14ac:dyDescent="0.25">
      <c r="C87" s="15">
        <v>74</v>
      </c>
      <c r="D87" s="15" t="s">
        <v>1445</v>
      </c>
    </row>
    <row r="88" spans="3:4" ht="15" customHeight="1" x14ac:dyDescent="0.25">
      <c r="C88" s="15">
        <v>75</v>
      </c>
      <c r="D88" s="15" t="s">
        <v>1446</v>
      </c>
    </row>
    <row r="89" spans="3:4" ht="15" customHeight="1" x14ac:dyDescent="0.25">
      <c r="C89" s="15">
        <v>76</v>
      </c>
      <c r="D89" s="15" t="s">
        <v>1447</v>
      </c>
    </row>
    <row r="90" spans="3:4" ht="15" customHeight="1" x14ac:dyDescent="0.25">
      <c r="C90" s="15">
        <v>77</v>
      </c>
      <c r="D90" s="15" t="s">
        <v>1448</v>
      </c>
    </row>
    <row r="91" spans="3:4" ht="15" customHeight="1" x14ac:dyDescent="0.25">
      <c r="C91" s="15">
        <v>78</v>
      </c>
      <c r="D91" s="15" t="s">
        <v>1449</v>
      </c>
    </row>
    <row r="92" spans="3:4" ht="15" customHeight="1" x14ac:dyDescent="0.25">
      <c r="C92" s="15">
        <v>79</v>
      </c>
      <c r="D92" s="15" t="s">
        <v>1450</v>
      </c>
    </row>
    <row r="93" spans="3:4" ht="15" customHeight="1" x14ac:dyDescent="0.25">
      <c r="C93" s="15">
        <v>80</v>
      </c>
      <c r="D93" s="15" t="s">
        <v>1451</v>
      </c>
    </row>
    <row r="94" spans="3:4" ht="15" customHeight="1" x14ac:dyDescent="0.25">
      <c r="C94" s="15">
        <v>81</v>
      </c>
      <c r="D94" s="15" t="s">
        <v>1452</v>
      </c>
    </row>
    <row r="95" spans="3:4" ht="15" customHeight="1" x14ac:dyDescent="0.25">
      <c r="C95" s="15">
        <v>82</v>
      </c>
      <c r="D95" s="15" t="s">
        <v>1453</v>
      </c>
    </row>
    <row r="96" spans="3:4" ht="15" customHeight="1" x14ac:dyDescent="0.25">
      <c r="C96" s="15">
        <v>83</v>
      </c>
      <c r="D96" s="15" t="s">
        <v>1454</v>
      </c>
    </row>
    <row r="97" spans="3:9" ht="15" customHeight="1" x14ac:dyDescent="0.25">
      <c r="C97" s="15">
        <v>84</v>
      </c>
      <c r="D97" s="15" t="s">
        <v>1455</v>
      </c>
    </row>
    <row r="98" spans="3:9" ht="15" customHeight="1" x14ac:dyDescent="0.25">
      <c r="C98" s="15">
        <v>85</v>
      </c>
      <c r="D98" s="15" t="s">
        <v>1456</v>
      </c>
    </row>
    <row r="99" spans="3:9" ht="15" customHeight="1" x14ac:dyDescent="0.25">
      <c r="C99" s="15">
        <v>86</v>
      </c>
      <c r="D99" s="15" t="s">
        <v>1457</v>
      </c>
    </row>
    <row r="103" spans="3:9" ht="21.75" customHeight="1" x14ac:dyDescent="0.25">
      <c r="C103" s="372" t="s">
        <v>1458</v>
      </c>
      <c r="D103" s="372"/>
      <c r="E103" s="372"/>
      <c r="F103" s="372"/>
      <c r="G103" s="372"/>
      <c r="H103" s="372"/>
      <c r="I103" s="372"/>
    </row>
    <row r="104" spans="3:9" ht="45.75" customHeight="1" x14ac:dyDescent="0.25">
      <c r="C104" s="373" t="s">
        <v>1459</v>
      </c>
      <c r="D104" s="373"/>
      <c r="E104" s="373"/>
      <c r="F104" s="373"/>
      <c r="G104" s="373"/>
      <c r="H104" s="373"/>
      <c r="I104" s="373"/>
    </row>
    <row r="106" spans="3:9" ht="31.5" customHeight="1" x14ac:dyDescent="0.25">
      <c r="C106" s="16" t="s">
        <v>927</v>
      </c>
      <c r="D106" s="16" t="s">
        <v>1460</v>
      </c>
      <c r="E106" s="16" t="s">
        <v>1461</v>
      </c>
      <c r="F106" s="16" t="s">
        <v>1462</v>
      </c>
      <c r="G106" s="16" t="s">
        <v>1463</v>
      </c>
      <c r="H106" s="16" t="s">
        <v>1464</v>
      </c>
    </row>
    <row r="107" spans="3:9" ht="19.5" customHeight="1" x14ac:dyDescent="0.25">
      <c r="C107" s="374" t="s">
        <v>1465</v>
      </c>
      <c r="D107" s="374"/>
      <c r="E107" s="374"/>
      <c r="F107" s="374"/>
      <c r="G107" s="374"/>
      <c r="H107" s="374"/>
    </row>
    <row r="108" spans="3:9" ht="57.75" customHeight="1" x14ac:dyDescent="0.25">
      <c r="C108" s="69">
        <v>1</v>
      </c>
      <c r="D108" s="165" t="s">
        <v>1466</v>
      </c>
      <c r="E108" s="170" t="s">
        <v>1467</v>
      </c>
      <c r="F108" s="165" t="s">
        <v>1468</v>
      </c>
      <c r="G108" s="72" t="s">
        <v>1469</v>
      </c>
      <c r="H108" s="171" t="s">
        <v>1470</v>
      </c>
    </row>
    <row r="109" spans="3:9" ht="57.75" customHeight="1" x14ac:dyDescent="0.25">
      <c r="C109" s="78">
        <v>2</v>
      </c>
      <c r="D109" s="166" t="s">
        <v>1471</v>
      </c>
      <c r="E109" s="172" t="s">
        <v>1472</v>
      </c>
      <c r="F109" s="166" t="s">
        <v>1473</v>
      </c>
      <c r="G109" s="80" t="s">
        <v>1474</v>
      </c>
      <c r="H109" s="173" t="s">
        <v>1475</v>
      </c>
    </row>
    <row r="110" spans="3:9" ht="19.5" customHeight="1" x14ac:dyDescent="0.25">
      <c r="C110" s="374" t="s">
        <v>1476</v>
      </c>
      <c r="D110" s="374"/>
      <c r="E110" s="374"/>
      <c r="F110" s="374"/>
      <c r="G110" s="374"/>
      <c r="H110" s="374"/>
    </row>
    <row r="111" spans="3:9" ht="57.75" customHeight="1" x14ac:dyDescent="0.25">
      <c r="C111" s="69">
        <v>3</v>
      </c>
      <c r="D111" s="165" t="s">
        <v>1477</v>
      </c>
      <c r="E111" s="170" t="s">
        <v>1478</v>
      </c>
      <c r="F111" s="165" t="s">
        <v>1479</v>
      </c>
      <c r="G111" s="72" t="s">
        <v>1480</v>
      </c>
      <c r="H111" s="171" t="s">
        <v>1470</v>
      </c>
    </row>
    <row r="112" spans="3:9" ht="57.75" customHeight="1" x14ac:dyDescent="0.25">
      <c r="C112" s="78">
        <v>4</v>
      </c>
      <c r="D112" s="166" t="s">
        <v>1481</v>
      </c>
      <c r="E112" s="172" t="s">
        <v>1482</v>
      </c>
      <c r="F112" s="166" t="s">
        <v>1483</v>
      </c>
      <c r="G112" s="80" t="s">
        <v>1484</v>
      </c>
      <c r="H112" s="171" t="s">
        <v>1470</v>
      </c>
    </row>
    <row r="113" spans="3:8" ht="57.75" customHeight="1" x14ac:dyDescent="0.25">
      <c r="C113" s="69">
        <v>5</v>
      </c>
      <c r="D113" s="165" t="s">
        <v>1485</v>
      </c>
      <c r="E113" s="170" t="s">
        <v>1486</v>
      </c>
      <c r="F113" s="165" t="s">
        <v>1487</v>
      </c>
      <c r="G113" s="72" t="s">
        <v>1488</v>
      </c>
      <c r="H113" s="171" t="s">
        <v>1470</v>
      </c>
    </row>
    <row r="114" spans="3:8" ht="19.5" customHeight="1" x14ac:dyDescent="0.25">
      <c r="C114" s="374" t="s">
        <v>1489</v>
      </c>
      <c r="D114" s="374"/>
      <c r="E114" s="374"/>
      <c r="F114" s="374"/>
      <c r="G114" s="374"/>
      <c r="H114" s="374"/>
    </row>
    <row r="115" spans="3:8" ht="57.75" customHeight="1" x14ac:dyDescent="0.25">
      <c r="C115" s="78">
        <v>6</v>
      </c>
      <c r="D115" s="166" t="s">
        <v>1490</v>
      </c>
      <c r="E115" s="172" t="s">
        <v>1491</v>
      </c>
      <c r="F115" s="166" t="s">
        <v>1492</v>
      </c>
      <c r="G115" s="80" t="s">
        <v>1493</v>
      </c>
      <c r="H115" s="171" t="s">
        <v>1470</v>
      </c>
    </row>
    <row r="116" spans="3:8" ht="57.75" customHeight="1" x14ac:dyDescent="0.25">
      <c r="C116" s="69">
        <v>7</v>
      </c>
      <c r="D116" s="165" t="s">
        <v>1494</v>
      </c>
      <c r="E116" s="170" t="s">
        <v>1495</v>
      </c>
      <c r="F116" s="165" t="s">
        <v>1496</v>
      </c>
      <c r="G116" s="72" t="s">
        <v>1497</v>
      </c>
      <c r="H116" s="171" t="s">
        <v>1470</v>
      </c>
    </row>
    <row r="117" spans="3:8" ht="57.75" customHeight="1" x14ac:dyDescent="0.25">
      <c r="C117" s="78">
        <v>8</v>
      </c>
      <c r="D117" s="166" t="s">
        <v>1498</v>
      </c>
      <c r="E117" s="172" t="s">
        <v>1499</v>
      </c>
      <c r="F117" s="166" t="s">
        <v>1500</v>
      </c>
      <c r="G117" s="80" t="s">
        <v>1501</v>
      </c>
      <c r="H117" s="171" t="s">
        <v>1470</v>
      </c>
    </row>
    <row r="118" spans="3:8" ht="57.75" customHeight="1" x14ac:dyDescent="0.25">
      <c r="C118" s="69">
        <v>9</v>
      </c>
      <c r="D118" s="165" t="s">
        <v>1502</v>
      </c>
      <c r="E118" s="170" t="s">
        <v>1503</v>
      </c>
      <c r="F118" s="165" t="s">
        <v>1504</v>
      </c>
      <c r="G118" s="72" t="s">
        <v>1505</v>
      </c>
      <c r="H118" s="171" t="s">
        <v>1470</v>
      </c>
    </row>
    <row r="119" spans="3:8" ht="57.75" customHeight="1" x14ac:dyDescent="0.25">
      <c r="C119" s="78">
        <v>10</v>
      </c>
      <c r="D119" s="166" t="s">
        <v>1506</v>
      </c>
      <c r="E119" s="172" t="s">
        <v>1507</v>
      </c>
      <c r="F119" s="166" t="s">
        <v>1508</v>
      </c>
      <c r="G119" s="80" t="s">
        <v>1509</v>
      </c>
      <c r="H119" s="171" t="s">
        <v>1470</v>
      </c>
    </row>
    <row r="120" spans="3:8" ht="19.5" customHeight="1" x14ac:dyDescent="0.25">
      <c r="C120" s="374" t="s">
        <v>1510</v>
      </c>
      <c r="D120" s="374"/>
      <c r="E120" s="374"/>
      <c r="F120" s="374"/>
      <c r="G120" s="374"/>
      <c r="H120" s="374"/>
    </row>
    <row r="121" spans="3:8" ht="57.75" customHeight="1" x14ac:dyDescent="0.25">
      <c r="C121" s="69">
        <v>11</v>
      </c>
      <c r="D121" s="165" t="s">
        <v>1511</v>
      </c>
      <c r="E121" s="170" t="s">
        <v>1512</v>
      </c>
      <c r="F121" s="165" t="s">
        <v>1513</v>
      </c>
      <c r="G121" s="72" t="s">
        <v>1514</v>
      </c>
      <c r="H121" s="174" t="s">
        <v>1515</v>
      </c>
    </row>
    <row r="122" spans="3:8" ht="57.75" customHeight="1" x14ac:dyDescent="0.25">
      <c r="C122" s="78">
        <v>12</v>
      </c>
      <c r="D122" s="166" t="s">
        <v>1516</v>
      </c>
      <c r="E122" s="172" t="s">
        <v>1517</v>
      </c>
      <c r="F122" s="166" t="s">
        <v>1518</v>
      </c>
      <c r="G122" s="80" t="s">
        <v>1514</v>
      </c>
      <c r="H122" s="174" t="s">
        <v>1515</v>
      </c>
    </row>
    <row r="123" spans="3:8" ht="57.75" customHeight="1" x14ac:dyDescent="0.25">
      <c r="C123" s="69">
        <v>13</v>
      </c>
      <c r="D123" s="165" t="s">
        <v>1519</v>
      </c>
      <c r="E123" s="170" t="s">
        <v>1520</v>
      </c>
      <c r="F123" s="165" t="s">
        <v>1521</v>
      </c>
      <c r="G123" s="72" t="s">
        <v>1514</v>
      </c>
      <c r="H123" s="174" t="s">
        <v>1515</v>
      </c>
    </row>
    <row r="124" spans="3:8" ht="19.5" customHeight="1" x14ac:dyDescent="0.25">
      <c r="C124" s="374" t="s">
        <v>1522</v>
      </c>
      <c r="D124" s="374"/>
      <c r="E124" s="374"/>
      <c r="F124" s="374"/>
      <c r="G124" s="374"/>
      <c r="H124" s="374"/>
    </row>
    <row r="125" spans="3:8" ht="57.75" customHeight="1" x14ac:dyDescent="0.25">
      <c r="C125" s="78">
        <v>14</v>
      </c>
      <c r="D125" s="166" t="s">
        <v>1523</v>
      </c>
      <c r="E125" s="172" t="s">
        <v>1524</v>
      </c>
      <c r="F125" s="166" t="s">
        <v>1525</v>
      </c>
      <c r="G125" s="80" t="s">
        <v>1526</v>
      </c>
      <c r="H125" s="173" t="s">
        <v>1475</v>
      </c>
    </row>
    <row r="126" spans="3:8" ht="57.75" customHeight="1" x14ac:dyDescent="0.25">
      <c r="C126" s="69">
        <v>15</v>
      </c>
      <c r="D126" s="165" t="s">
        <v>1527</v>
      </c>
      <c r="E126" s="170" t="s">
        <v>1528</v>
      </c>
      <c r="F126" s="165" t="s">
        <v>1529</v>
      </c>
      <c r="G126" s="72" t="s">
        <v>1484</v>
      </c>
      <c r="H126" s="173" t="s">
        <v>1475</v>
      </c>
    </row>
    <row r="127" spans="3:8" ht="57.75" customHeight="1" x14ac:dyDescent="0.25">
      <c r="C127" s="78">
        <v>16</v>
      </c>
      <c r="D127" s="166" t="s">
        <v>1530</v>
      </c>
      <c r="E127" s="172" t="s">
        <v>1531</v>
      </c>
      <c r="F127" s="166" t="s">
        <v>1532</v>
      </c>
      <c r="G127" s="80" t="s">
        <v>1526</v>
      </c>
      <c r="H127" s="173" t="s">
        <v>1475</v>
      </c>
    </row>
    <row r="128" spans="3:8" ht="19.5" customHeight="1" x14ac:dyDescent="0.25">
      <c r="C128" s="374" t="s">
        <v>1533</v>
      </c>
      <c r="D128" s="374"/>
      <c r="E128" s="374"/>
      <c r="F128" s="374"/>
      <c r="G128" s="374"/>
      <c r="H128" s="374"/>
    </row>
    <row r="129" spans="3:8" ht="57.75" customHeight="1" x14ac:dyDescent="0.25">
      <c r="C129" s="69">
        <v>17</v>
      </c>
      <c r="D129" s="165" t="s">
        <v>1534</v>
      </c>
      <c r="E129" s="170" t="s">
        <v>1535</v>
      </c>
      <c r="F129" s="165" t="s">
        <v>1536</v>
      </c>
      <c r="G129" s="72" t="s">
        <v>1537</v>
      </c>
      <c r="H129" s="174" t="s">
        <v>1515</v>
      </c>
    </row>
    <row r="130" spans="3:8" ht="57.75" customHeight="1" x14ac:dyDescent="0.25">
      <c r="C130" s="78">
        <v>18</v>
      </c>
      <c r="D130" s="166" t="s">
        <v>1538</v>
      </c>
      <c r="E130" s="172" t="s">
        <v>1539</v>
      </c>
      <c r="F130" s="166" t="s">
        <v>1540</v>
      </c>
      <c r="G130" s="80" t="s">
        <v>1541</v>
      </c>
      <c r="H130" s="174" t="s">
        <v>1515</v>
      </c>
    </row>
    <row r="131" spans="3:8" ht="57.75" customHeight="1" x14ac:dyDescent="0.25">
      <c r="C131" s="69">
        <v>19</v>
      </c>
      <c r="D131" s="165" t="s">
        <v>1542</v>
      </c>
      <c r="E131" s="170" t="s">
        <v>1543</v>
      </c>
      <c r="F131" s="165" t="s">
        <v>1544</v>
      </c>
      <c r="G131" s="72" t="s">
        <v>1545</v>
      </c>
      <c r="H131" s="174" t="s">
        <v>1515</v>
      </c>
    </row>
    <row r="132" spans="3:8" ht="57.75" customHeight="1" x14ac:dyDescent="0.25">
      <c r="C132" s="78">
        <v>20</v>
      </c>
      <c r="D132" s="166" t="s">
        <v>1546</v>
      </c>
      <c r="E132" s="172" t="s">
        <v>1547</v>
      </c>
      <c r="F132" s="166" t="s">
        <v>1548</v>
      </c>
      <c r="G132" s="80" t="s">
        <v>1545</v>
      </c>
      <c r="H132" s="174" t="s">
        <v>1515</v>
      </c>
    </row>
    <row r="133" spans="3:8" ht="57.75" customHeight="1" x14ac:dyDescent="0.25">
      <c r="C133" s="69">
        <v>21</v>
      </c>
      <c r="D133" s="165" t="s">
        <v>1549</v>
      </c>
      <c r="E133" s="170" t="s">
        <v>1550</v>
      </c>
      <c r="F133" s="165" t="s">
        <v>1551</v>
      </c>
      <c r="G133" s="72" t="s">
        <v>1545</v>
      </c>
      <c r="H133" s="174" t="s">
        <v>1515</v>
      </c>
    </row>
    <row r="134" spans="3:8" ht="57.75" customHeight="1" x14ac:dyDescent="0.25">
      <c r="C134" s="78">
        <v>22</v>
      </c>
      <c r="D134" s="166" t="s">
        <v>1552</v>
      </c>
      <c r="E134" s="172" t="s">
        <v>1553</v>
      </c>
      <c r="F134" s="166" t="s">
        <v>1554</v>
      </c>
      <c r="G134" s="80" t="s">
        <v>1555</v>
      </c>
      <c r="H134" s="174" t="s">
        <v>1515</v>
      </c>
    </row>
    <row r="136" spans="3:8" ht="15" customHeight="1" x14ac:dyDescent="0.25">
      <c r="C136" s="9" t="s">
        <v>1556</v>
      </c>
      <c r="D136" s="9"/>
      <c r="E136" s="9"/>
      <c r="F136" s="9"/>
      <c r="G136" s="9"/>
      <c r="H136" s="9"/>
    </row>
    <row r="137" spans="3:8" ht="39.75" customHeight="1" x14ac:dyDescent="0.25">
      <c r="C137" s="175" t="s">
        <v>1470</v>
      </c>
      <c r="D137" s="375" t="s">
        <v>1557</v>
      </c>
      <c r="E137" s="375"/>
      <c r="F137" s="375"/>
      <c r="G137" s="375"/>
      <c r="H137" s="375"/>
    </row>
    <row r="138" spans="3:8" ht="39.75" customHeight="1" x14ac:dyDescent="0.25">
      <c r="C138" s="176" t="s">
        <v>1475</v>
      </c>
      <c r="D138" s="375" t="s">
        <v>1558</v>
      </c>
      <c r="E138" s="375"/>
      <c r="F138" s="375"/>
      <c r="G138" s="375"/>
      <c r="H138" s="375"/>
    </row>
    <row r="139" spans="3:8" ht="39.75" customHeight="1" x14ac:dyDescent="0.25">
      <c r="C139" s="177" t="s">
        <v>1515</v>
      </c>
      <c r="D139" s="375" t="s">
        <v>1559</v>
      </c>
      <c r="E139" s="375"/>
      <c r="F139" s="375"/>
      <c r="G139" s="375"/>
      <c r="H139" s="375"/>
    </row>
    <row r="141" spans="3:8" ht="51.75" customHeight="1" x14ac:dyDescent="0.25">
      <c r="C141" s="17" t="s">
        <v>1560</v>
      </c>
      <c r="D141" s="361" t="s">
        <v>1561</v>
      </c>
      <c r="E141" s="361"/>
      <c r="F141" s="361"/>
      <c r="G141" s="361"/>
      <c r="H141" s="361"/>
    </row>
    <row r="142" spans="3:8" ht="51.75" customHeight="1" x14ac:dyDescent="0.25">
      <c r="C142" s="17" t="s">
        <v>1562</v>
      </c>
      <c r="D142" s="361" t="s">
        <v>1563</v>
      </c>
      <c r="E142" s="361"/>
      <c r="F142" s="361"/>
      <c r="G142" s="361"/>
      <c r="H142" s="361"/>
    </row>
    <row r="143" spans="3:8" ht="51.75" customHeight="1" x14ac:dyDescent="0.25">
      <c r="C143" s="17" t="s">
        <v>646</v>
      </c>
      <c r="D143" s="361" t="s">
        <v>1564</v>
      </c>
      <c r="E143" s="361"/>
      <c r="F143" s="361"/>
      <c r="G143" s="361"/>
      <c r="H143" s="361"/>
    </row>
  </sheetData>
  <sheetProtection password="EBB1" sheet="1" formatColumns="0" formatRows="0" sort="0" autoFilter="0"/>
  <mergeCells count="15">
    <mergeCell ref="D138:H138"/>
    <mergeCell ref="D139:H139"/>
    <mergeCell ref="D141:H141"/>
    <mergeCell ref="D142:H142"/>
    <mergeCell ref="D143:H143"/>
    <mergeCell ref="C120:H120"/>
    <mergeCell ref="C124:H124"/>
    <mergeCell ref="C128:H128"/>
    <mergeCell ref="C136:H136"/>
    <mergeCell ref="D137:H137"/>
    <mergeCell ref="C103:I103"/>
    <mergeCell ref="C104:I104"/>
    <mergeCell ref="C107:H107"/>
    <mergeCell ref="C110:H110"/>
    <mergeCell ref="C114:H114"/>
  </mergeCells>
  <pageMargins left="0.7" right="0.7" top="0.75" bottom="0.75"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U350"/>
  <sheetViews>
    <sheetView zoomScaleNormal="100" workbookViewId="0">
      <pane xSplit="4" ySplit="6" topLeftCell="AK7" activePane="bottomRight" state="frozen"/>
      <selection pane="topRight" activeCell="AK1" sqref="AK1"/>
      <selection pane="bottomLeft" activeCell="A7" sqref="A7"/>
      <selection pane="bottomRight" activeCell="B7" sqref="B7"/>
    </sheetView>
  </sheetViews>
  <sheetFormatPr defaultColWidth="8.7109375" defaultRowHeight="15" x14ac:dyDescent="0.25"/>
  <cols>
    <col min="37" max="42" width="24" style="15" customWidth="1"/>
    <col min="43" max="43" width="62" style="15" customWidth="1"/>
    <col min="44" max="44" width="11" style="15" customWidth="1"/>
  </cols>
  <sheetData>
    <row r="2" spans="2:73" ht="15" customHeight="1" x14ac:dyDescent="0.25">
      <c r="B2" s="178"/>
      <c r="C2" s="179"/>
      <c r="D2" s="178"/>
      <c r="E2" s="178"/>
      <c r="F2" s="178"/>
      <c r="G2" s="178"/>
      <c r="H2" s="178"/>
      <c r="I2" s="178"/>
      <c r="J2" s="178"/>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78"/>
      <c r="BJ2" s="178"/>
      <c r="BK2" s="178"/>
      <c r="BL2" s="178"/>
      <c r="BM2" s="178"/>
      <c r="BN2" s="178"/>
      <c r="BO2" s="178"/>
      <c r="BP2" s="178"/>
      <c r="BQ2" s="178"/>
      <c r="BR2" s="178"/>
      <c r="BS2" s="178"/>
      <c r="BT2" s="178"/>
      <c r="BU2" s="178"/>
    </row>
    <row r="3" spans="2:73" ht="33.75" customHeight="1" x14ac:dyDescent="0.25">
      <c r="B3" s="178"/>
      <c r="C3" s="179"/>
      <c r="D3" s="178" t="s">
        <v>1565</v>
      </c>
      <c r="E3" s="178"/>
      <c r="F3" s="178"/>
      <c r="G3" s="178"/>
      <c r="H3" s="178"/>
      <c r="I3" s="178"/>
      <c r="J3" s="178"/>
      <c r="M3" s="178"/>
      <c r="O3" s="178"/>
      <c r="Q3" s="180" t="s">
        <v>1566</v>
      </c>
      <c r="R3" s="178"/>
      <c r="S3" s="178"/>
      <c r="T3" s="178"/>
      <c r="U3" s="178"/>
      <c r="V3" s="178"/>
      <c r="W3" s="178"/>
      <c r="X3" s="178"/>
      <c r="Y3" s="178"/>
      <c r="Z3" s="178"/>
      <c r="AA3" s="178"/>
      <c r="AB3" s="178"/>
      <c r="AC3" s="178"/>
      <c r="AD3" s="178"/>
      <c r="AE3" s="178"/>
      <c r="AF3" s="178"/>
      <c r="AG3" s="178"/>
      <c r="AH3" s="178"/>
      <c r="AI3" s="178"/>
      <c r="AJ3" s="178"/>
      <c r="AK3" s="376" t="s">
        <v>1567</v>
      </c>
      <c r="AL3" s="376"/>
      <c r="AM3" s="376"/>
      <c r="AN3" s="376"/>
      <c r="AO3" s="376"/>
      <c r="AP3" s="376"/>
      <c r="AQ3" s="376"/>
      <c r="AR3" s="178"/>
      <c r="AS3" s="178"/>
      <c r="AT3" s="178"/>
      <c r="AU3" s="178"/>
      <c r="AV3" s="178"/>
      <c r="AW3" s="178"/>
      <c r="AX3" s="178"/>
      <c r="AY3" s="178"/>
      <c r="AZ3" s="178"/>
      <c r="BA3" s="178"/>
      <c r="BB3" s="178"/>
      <c r="BC3" s="178"/>
      <c r="BD3" s="178"/>
      <c r="BE3" s="178"/>
      <c r="BF3" s="178"/>
      <c r="BG3" s="178"/>
      <c r="BH3" s="178"/>
      <c r="BI3" s="178"/>
      <c r="BJ3" s="178"/>
      <c r="BK3" s="178"/>
      <c r="BL3" s="178"/>
      <c r="BM3" s="178"/>
      <c r="BN3" s="178"/>
      <c r="BO3" s="178"/>
      <c r="BP3" s="178"/>
      <c r="BQ3" s="178"/>
      <c r="BR3" s="178"/>
      <c r="BS3" s="178"/>
      <c r="BT3" s="178"/>
      <c r="BU3" s="178"/>
    </row>
    <row r="4" spans="2:73" ht="15" customHeight="1" x14ac:dyDescent="0.25">
      <c r="B4" s="178"/>
      <c r="C4" s="179"/>
      <c r="D4" s="178" t="s">
        <v>1568</v>
      </c>
      <c r="E4" s="178"/>
      <c r="F4" s="178"/>
      <c r="G4" s="178"/>
      <c r="H4" s="178"/>
      <c r="I4" s="178"/>
      <c r="J4" s="178"/>
      <c r="K4" s="180" t="s">
        <v>1569</v>
      </c>
      <c r="L4" s="180" t="s">
        <v>1570</v>
      </c>
      <c r="M4" s="178"/>
      <c r="N4" s="180" t="s">
        <v>1571</v>
      </c>
      <c r="O4" s="178"/>
      <c r="P4" s="178"/>
      <c r="Q4" s="178"/>
      <c r="R4" s="180" t="s">
        <v>1572</v>
      </c>
      <c r="S4" s="178"/>
      <c r="T4" s="180" t="s">
        <v>1573</v>
      </c>
      <c r="U4" s="178"/>
      <c r="V4" s="178" t="s">
        <v>1574</v>
      </c>
      <c r="W4" s="178"/>
      <c r="X4" s="178"/>
      <c r="Y4" s="178"/>
      <c r="Z4" s="178"/>
      <c r="AA4" s="178"/>
      <c r="AB4" s="178"/>
      <c r="AC4" s="178"/>
      <c r="AD4" s="178"/>
      <c r="AE4" s="178"/>
      <c r="AF4" s="178"/>
      <c r="AG4" s="178"/>
      <c r="AH4" s="178"/>
      <c r="AI4" s="178"/>
      <c r="AJ4" s="178"/>
      <c r="AK4" s="178"/>
      <c r="AL4" s="178"/>
      <c r="AM4" s="178"/>
      <c r="AN4" s="178"/>
      <c r="AO4" s="178"/>
      <c r="AP4" s="178"/>
      <c r="AQ4" s="178"/>
      <c r="AR4" s="178"/>
      <c r="AS4" s="178"/>
      <c r="AT4" s="178"/>
      <c r="AU4" s="178"/>
      <c r="AV4" s="178"/>
      <c r="AW4" s="178"/>
      <c r="AX4" s="178"/>
      <c r="AY4" s="178"/>
      <c r="AZ4" s="178"/>
      <c r="BA4" s="178"/>
      <c r="BB4" s="178"/>
      <c r="BC4" s="178"/>
      <c r="BD4" s="178"/>
      <c r="BE4" s="178"/>
      <c r="BF4" s="178"/>
      <c r="BG4" s="178"/>
      <c r="BH4" s="178"/>
      <c r="BI4" s="178"/>
      <c r="BJ4" s="178"/>
      <c r="BK4" s="178"/>
      <c r="BL4" s="178"/>
      <c r="BM4" s="178"/>
      <c r="BN4" s="178"/>
      <c r="BO4" s="178"/>
      <c r="BP4" s="178"/>
      <c r="BQ4" s="178"/>
      <c r="BR4" s="178"/>
      <c r="BS4" s="178"/>
      <c r="BT4" s="178"/>
      <c r="BU4" s="178"/>
    </row>
    <row r="5" spans="2:73" ht="15" customHeight="1" x14ac:dyDescent="0.25">
      <c r="B5" s="178"/>
      <c r="C5" s="178" t="s">
        <v>1575</v>
      </c>
      <c r="E5" s="178"/>
      <c r="F5" s="178"/>
      <c r="G5" s="178"/>
      <c r="H5" s="178"/>
      <c r="I5" s="178"/>
      <c r="J5" s="178"/>
      <c r="K5" s="178" t="s">
        <v>1576</v>
      </c>
      <c r="L5" s="178"/>
      <c r="N5" s="178"/>
      <c r="O5" s="178"/>
      <c r="P5" s="178"/>
      <c r="Q5" s="178"/>
      <c r="R5" s="178"/>
      <c r="T5" s="178" t="s">
        <v>1577</v>
      </c>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8"/>
      <c r="AT5" s="178"/>
      <c r="AU5" s="178"/>
      <c r="AV5" s="178"/>
      <c r="AW5" s="178"/>
      <c r="AX5" s="178"/>
      <c r="AY5" s="178"/>
      <c r="AZ5" s="178"/>
      <c r="BA5" s="178"/>
      <c r="BB5" s="178"/>
      <c r="BC5" s="178"/>
      <c r="BD5" s="178"/>
      <c r="BE5" s="178"/>
      <c r="BF5" s="178"/>
      <c r="BG5" s="178"/>
      <c r="BH5" s="178"/>
      <c r="BI5" s="178"/>
      <c r="BJ5" s="178"/>
      <c r="BK5" s="178"/>
      <c r="BL5" s="178"/>
      <c r="BM5" s="178"/>
      <c r="BN5" s="178"/>
      <c r="BO5" s="178"/>
      <c r="BP5" s="178"/>
      <c r="BQ5" s="178"/>
      <c r="BR5" s="178"/>
      <c r="BS5" s="178"/>
      <c r="BT5" s="178"/>
      <c r="BU5" s="178"/>
    </row>
    <row r="6" spans="2:73" ht="102.75" customHeight="1" x14ac:dyDescent="0.25">
      <c r="B6" s="178"/>
      <c r="C6" s="181" t="s">
        <v>927</v>
      </c>
      <c r="D6" s="181" t="s">
        <v>1578</v>
      </c>
      <c r="E6" s="181" t="s">
        <v>1579</v>
      </c>
      <c r="F6" s="181" t="s">
        <v>1580</v>
      </c>
      <c r="G6" s="181" t="s">
        <v>1581</v>
      </c>
      <c r="H6" s="181" t="s">
        <v>1582</v>
      </c>
      <c r="I6" s="181" t="s">
        <v>1579</v>
      </c>
      <c r="J6" s="181" t="s">
        <v>1583</v>
      </c>
      <c r="K6" s="181" t="s">
        <v>1584</v>
      </c>
      <c r="L6" s="181" t="s">
        <v>1585</v>
      </c>
      <c r="M6" s="182" t="s">
        <v>1586</v>
      </c>
      <c r="N6" s="183" t="s">
        <v>1587</v>
      </c>
      <c r="O6" s="183" t="s">
        <v>1588</v>
      </c>
      <c r="P6" s="183" t="s">
        <v>1589</v>
      </c>
      <c r="Q6" s="183" t="s">
        <v>1590</v>
      </c>
      <c r="R6" s="183" t="s">
        <v>1591</v>
      </c>
      <c r="S6" s="183" t="s">
        <v>1592</v>
      </c>
      <c r="T6" s="183" t="s">
        <v>1593</v>
      </c>
      <c r="U6" s="183" t="s">
        <v>1594</v>
      </c>
      <c r="V6" s="184" t="s">
        <v>1595</v>
      </c>
      <c r="W6" s="184" t="s">
        <v>1596</v>
      </c>
      <c r="X6" s="184" t="s">
        <v>1597</v>
      </c>
      <c r="Y6" s="185" t="s">
        <v>1598</v>
      </c>
      <c r="Z6" s="185" t="s">
        <v>1599</v>
      </c>
      <c r="AA6" s="185" t="s">
        <v>1600</v>
      </c>
      <c r="AB6" s="185" t="s">
        <v>1601</v>
      </c>
      <c r="AC6" s="185" t="s">
        <v>1602</v>
      </c>
      <c r="AD6" s="185" t="s">
        <v>1603</v>
      </c>
      <c r="AE6" s="185" t="s">
        <v>1604</v>
      </c>
      <c r="AF6" s="185" t="s">
        <v>1605</v>
      </c>
      <c r="AG6" s="185" t="s">
        <v>1606</v>
      </c>
      <c r="AH6" s="185" t="s">
        <v>1607</v>
      </c>
      <c r="AI6" s="185" t="s">
        <v>1608</v>
      </c>
      <c r="AJ6" s="185" t="s">
        <v>1609</v>
      </c>
      <c r="AK6" s="186" t="s">
        <v>1610</v>
      </c>
      <c r="AL6" s="187" t="s">
        <v>1611</v>
      </c>
      <c r="AM6" s="188" t="s">
        <v>1612</v>
      </c>
      <c r="AN6" s="189" t="s">
        <v>1613</v>
      </c>
      <c r="AO6" s="190" t="s">
        <v>1614</v>
      </c>
      <c r="AP6" s="191" t="s">
        <v>1615</v>
      </c>
      <c r="AQ6" s="192" t="s">
        <v>1616</v>
      </c>
      <c r="AR6" s="192" t="s">
        <v>1617</v>
      </c>
      <c r="AS6" s="178"/>
      <c r="AT6" s="178"/>
      <c r="AU6" s="178"/>
      <c r="AV6" s="178"/>
      <c r="AW6" s="178"/>
      <c r="AX6" s="178"/>
      <c r="AY6" s="178"/>
      <c r="AZ6" s="178"/>
      <c r="BA6" s="178"/>
      <c r="BB6" s="178"/>
      <c r="BC6" s="178"/>
      <c r="BD6" s="178"/>
      <c r="BE6" s="178"/>
      <c r="BF6" s="178"/>
      <c r="BG6" s="178"/>
      <c r="BH6" s="178"/>
      <c r="BI6" s="178"/>
      <c r="BJ6" s="178"/>
      <c r="BK6" s="178"/>
      <c r="BL6" s="178"/>
      <c r="BM6" s="178"/>
      <c r="BN6" s="178"/>
      <c r="BO6" s="178"/>
      <c r="BP6" s="178"/>
      <c r="BQ6" s="178"/>
      <c r="BR6" s="178"/>
      <c r="BS6" s="178"/>
      <c r="BT6" s="178"/>
      <c r="BU6" s="178"/>
    </row>
    <row r="7" spans="2:73" ht="80.25" customHeight="1" x14ac:dyDescent="0.25">
      <c r="B7" s="193"/>
      <c r="C7" s="194">
        <v>1</v>
      </c>
      <c r="D7" s="195" t="s">
        <v>1618</v>
      </c>
      <c r="E7" s="195" t="s">
        <v>1619</v>
      </c>
      <c r="F7" s="195" t="s">
        <v>1620</v>
      </c>
      <c r="G7" s="195" t="s">
        <v>1621</v>
      </c>
      <c r="H7" s="195" t="s">
        <v>1618</v>
      </c>
      <c r="I7" s="195" t="s">
        <v>1622</v>
      </c>
      <c r="J7" s="195" t="s">
        <v>1623</v>
      </c>
      <c r="K7" s="196" t="s">
        <v>1624</v>
      </c>
      <c r="L7" s="195" t="s">
        <v>1625</v>
      </c>
      <c r="M7" s="195" t="s">
        <v>1626</v>
      </c>
      <c r="N7" s="196" t="s">
        <v>1627</v>
      </c>
      <c r="O7" s="195" t="s">
        <v>1628</v>
      </c>
      <c r="P7" s="195" t="s">
        <v>1629</v>
      </c>
      <c r="Q7" s="195" t="s">
        <v>1630</v>
      </c>
      <c r="R7" s="197" t="s">
        <v>1631</v>
      </c>
      <c r="S7" s="197" t="s">
        <v>1632</v>
      </c>
      <c r="T7" s="182" t="s">
        <v>1633</v>
      </c>
      <c r="U7" s="182" t="s">
        <v>1634</v>
      </c>
      <c r="V7" s="198" t="s">
        <v>1635</v>
      </c>
      <c r="W7" s="198" t="s">
        <v>1636</v>
      </c>
      <c r="X7" s="198" t="s">
        <v>1637</v>
      </c>
      <c r="Y7" s="199" t="s">
        <v>1638</v>
      </c>
      <c r="Z7" s="199" t="s">
        <v>1639</v>
      </c>
      <c r="AA7" s="199" t="s">
        <v>1640</v>
      </c>
      <c r="AB7" s="199" t="s">
        <v>1641</v>
      </c>
      <c r="AC7" s="200" t="s">
        <v>1642</v>
      </c>
      <c r="AD7" s="200" t="s">
        <v>1643</v>
      </c>
      <c r="AE7" s="200" t="s">
        <v>1644</v>
      </c>
      <c r="AF7" s="200" t="s">
        <v>1645</v>
      </c>
      <c r="AG7" s="200" t="s">
        <v>1646</v>
      </c>
      <c r="AH7" s="200" t="s">
        <v>1647</v>
      </c>
      <c r="AI7" s="200" t="s">
        <v>1648</v>
      </c>
      <c r="AJ7" s="15" t="s">
        <v>1649</v>
      </c>
      <c r="AK7" s="201" t="s">
        <v>1650</v>
      </c>
      <c r="AL7" s="201" t="s">
        <v>1651</v>
      </c>
      <c r="AM7" s="201" t="s">
        <v>1652</v>
      </c>
      <c r="AN7" s="201" t="s">
        <v>1653</v>
      </c>
      <c r="AO7" s="201" t="s">
        <v>1654</v>
      </c>
      <c r="AP7" s="201" t="s">
        <v>1655</v>
      </c>
      <c r="AQ7" s="202" t="s">
        <v>1656</v>
      </c>
      <c r="AR7" s="203" t="s">
        <v>1657</v>
      </c>
      <c r="AS7" s="193"/>
      <c r="AT7" s="193"/>
      <c r="AU7" s="193"/>
      <c r="AV7" s="193"/>
      <c r="AW7" s="193"/>
      <c r="AX7" s="193"/>
      <c r="AY7" s="193"/>
      <c r="AZ7" s="193"/>
      <c r="BA7" s="193"/>
      <c r="BB7" s="193"/>
      <c r="BC7" s="193"/>
      <c r="BD7" s="193"/>
      <c r="BE7" s="193"/>
      <c r="BF7" s="193"/>
      <c r="BG7" s="193"/>
      <c r="BH7" s="193"/>
      <c r="BI7" s="193"/>
      <c r="BJ7" s="193"/>
      <c r="BK7" s="193"/>
      <c r="BL7" s="193"/>
      <c r="BM7" s="193"/>
      <c r="BN7" s="193"/>
      <c r="BO7" s="193"/>
      <c r="BP7" s="193"/>
      <c r="BQ7" s="193"/>
      <c r="BR7" s="193"/>
      <c r="BS7" s="193"/>
      <c r="BT7" s="193"/>
      <c r="BU7" s="193"/>
    </row>
    <row r="8" spans="2:73" ht="67.5" customHeight="1" x14ac:dyDescent="0.25">
      <c r="B8" s="193"/>
      <c r="C8" s="194">
        <v>2</v>
      </c>
      <c r="D8" s="195" t="s">
        <v>1658</v>
      </c>
      <c r="E8" s="195" t="s">
        <v>1659</v>
      </c>
      <c r="F8" s="195" t="s">
        <v>1660</v>
      </c>
      <c r="G8" s="195" t="s">
        <v>1661</v>
      </c>
      <c r="H8" s="195" t="s">
        <v>1658</v>
      </c>
      <c r="I8" s="195" t="s">
        <v>1662</v>
      </c>
      <c r="J8" s="195" t="s">
        <v>1663</v>
      </c>
      <c r="K8" s="195" t="s">
        <v>1664</v>
      </c>
      <c r="L8" s="195" t="s">
        <v>1665</v>
      </c>
      <c r="M8" s="195" t="s">
        <v>1666</v>
      </c>
      <c r="N8" s="196" t="s">
        <v>1667</v>
      </c>
      <c r="O8" s="195" t="s">
        <v>1668</v>
      </c>
      <c r="P8" s="195" t="s">
        <v>1629</v>
      </c>
      <c r="Q8" s="195" t="s">
        <v>1669</v>
      </c>
      <c r="R8" s="197" t="s">
        <v>1670</v>
      </c>
      <c r="S8" s="197" t="s">
        <v>1671</v>
      </c>
      <c r="T8" s="182" t="s">
        <v>1672</v>
      </c>
      <c r="U8" s="182" t="s">
        <v>1633</v>
      </c>
      <c r="V8" s="198" t="s">
        <v>1673</v>
      </c>
      <c r="W8" s="198" t="s">
        <v>1674</v>
      </c>
      <c r="X8" s="198" t="s">
        <v>1675</v>
      </c>
      <c r="Y8" s="199" t="s">
        <v>1638</v>
      </c>
      <c r="Z8" s="199" t="s">
        <v>1639</v>
      </c>
      <c r="AA8" s="199" t="s">
        <v>1640</v>
      </c>
      <c r="AB8" s="199" t="s">
        <v>1641</v>
      </c>
      <c r="AC8" s="200" t="s">
        <v>1642</v>
      </c>
      <c r="AD8" s="200" t="s">
        <v>1676</v>
      </c>
      <c r="AE8" s="200" t="s">
        <v>1644</v>
      </c>
      <c r="AF8" s="200" t="s">
        <v>1677</v>
      </c>
      <c r="AG8" s="200" t="s">
        <v>1678</v>
      </c>
      <c r="AH8" s="200" t="s">
        <v>1677</v>
      </c>
      <c r="AI8" s="200" t="s">
        <v>1648</v>
      </c>
      <c r="AJ8" s="15" t="s">
        <v>1679</v>
      </c>
      <c r="AK8" s="204" t="s">
        <v>1650</v>
      </c>
      <c r="AL8" s="204" t="s">
        <v>1651</v>
      </c>
      <c r="AM8" s="204" t="s">
        <v>1652</v>
      </c>
      <c r="AN8" s="204" t="s">
        <v>1653</v>
      </c>
      <c r="AO8" s="204" t="s">
        <v>1654</v>
      </c>
      <c r="AP8" s="204" t="s">
        <v>1655</v>
      </c>
      <c r="AQ8" s="205" t="s">
        <v>1656</v>
      </c>
      <c r="AR8" s="206" t="s">
        <v>1657</v>
      </c>
      <c r="AS8" s="193"/>
      <c r="AT8" s="193"/>
      <c r="AU8" s="193"/>
      <c r="AV8" s="193"/>
      <c r="AW8" s="193"/>
      <c r="AX8" s="193"/>
      <c r="AY8" s="193"/>
      <c r="AZ8" s="193"/>
      <c r="BA8" s="193"/>
      <c r="BB8" s="193"/>
      <c r="BC8" s="193"/>
      <c r="BD8" s="193"/>
      <c r="BE8" s="193"/>
      <c r="BF8" s="193"/>
      <c r="BG8" s="193"/>
      <c r="BH8" s="193"/>
      <c r="BI8" s="193"/>
      <c r="BJ8" s="193"/>
      <c r="BK8" s="193"/>
      <c r="BL8" s="193"/>
      <c r="BM8" s="193"/>
      <c r="BN8" s="193"/>
      <c r="BO8" s="193"/>
      <c r="BP8" s="193"/>
      <c r="BQ8" s="193"/>
      <c r="BR8" s="193"/>
      <c r="BS8" s="193"/>
      <c r="BT8" s="193"/>
      <c r="BU8" s="193"/>
    </row>
    <row r="9" spans="2:73" ht="56.25" customHeight="1" x14ac:dyDescent="0.25">
      <c r="B9" s="193"/>
      <c r="C9" s="194">
        <v>3</v>
      </c>
      <c r="D9" s="195" t="s">
        <v>1680</v>
      </c>
      <c r="E9" s="195" t="s">
        <v>1681</v>
      </c>
      <c r="F9" s="195" t="s">
        <v>1620</v>
      </c>
      <c r="G9" s="195" t="s">
        <v>1682</v>
      </c>
      <c r="H9" s="195" t="s">
        <v>1680</v>
      </c>
      <c r="I9" s="195" t="s">
        <v>1683</v>
      </c>
      <c r="J9" s="195" t="s">
        <v>1684</v>
      </c>
      <c r="K9" s="195" t="s">
        <v>1685</v>
      </c>
      <c r="L9" s="195" t="s">
        <v>1686</v>
      </c>
      <c r="M9" s="195" t="s">
        <v>1687</v>
      </c>
      <c r="N9" s="196" t="s">
        <v>1688</v>
      </c>
      <c r="O9" s="195" t="s">
        <v>1689</v>
      </c>
      <c r="P9" s="195" t="s">
        <v>1690</v>
      </c>
      <c r="Q9" s="195" t="s">
        <v>1691</v>
      </c>
      <c r="R9" s="197" t="s">
        <v>1692</v>
      </c>
      <c r="S9" s="197" t="s">
        <v>1693</v>
      </c>
      <c r="T9" s="182" t="s">
        <v>1694</v>
      </c>
      <c r="U9" s="182" t="s">
        <v>1695</v>
      </c>
      <c r="V9" s="198" t="s">
        <v>1696</v>
      </c>
      <c r="W9" s="198" t="s">
        <v>1697</v>
      </c>
      <c r="X9" s="198" t="s">
        <v>1698</v>
      </c>
      <c r="Y9" s="199" t="s">
        <v>1638</v>
      </c>
      <c r="Z9" s="199" t="s">
        <v>1639</v>
      </c>
      <c r="AA9" s="199" t="s">
        <v>1640</v>
      </c>
      <c r="AB9" s="199" t="s">
        <v>1641</v>
      </c>
      <c r="AC9" s="200" t="s">
        <v>1642</v>
      </c>
      <c r="AD9" s="200" t="s">
        <v>1676</v>
      </c>
      <c r="AE9" s="200" t="s">
        <v>1644</v>
      </c>
      <c r="AF9" s="200" t="s">
        <v>1699</v>
      </c>
      <c r="AG9" s="200" t="s">
        <v>1700</v>
      </c>
      <c r="AH9" s="200" t="s">
        <v>1677</v>
      </c>
      <c r="AI9" s="200" t="s">
        <v>1648</v>
      </c>
      <c r="AJ9" s="15" t="s">
        <v>1701</v>
      </c>
      <c r="AK9" s="201" t="s">
        <v>1650</v>
      </c>
      <c r="AL9" s="201" t="s">
        <v>1651</v>
      </c>
      <c r="AM9" s="201" t="s">
        <v>1652</v>
      </c>
      <c r="AN9" s="201" t="s">
        <v>1653</v>
      </c>
      <c r="AO9" s="201" t="s">
        <v>1654</v>
      </c>
      <c r="AP9" s="201" t="s">
        <v>1655</v>
      </c>
      <c r="AQ9" s="202" t="s">
        <v>1656</v>
      </c>
      <c r="AR9" s="203" t="s">
        <v>1657</v>
      </c>
      <c r="AS9" s="193"/>
      <c r="AT9" s="193"/>
      <c r="AU9" s="193"/>
      <c r="AV9" s="193"/>
      <c r="AW9" s="193"/>
      <c r="AX9" s="193"/>
      <c r="AY9" s="193"/>
      <c r="AZ9" s="193"/>
      <c r="BA9" s="193"/>
      <c r="BB9" s="193"/>
      <c r="BC9" s="193"/>
      <c r="BD9" s="193"/>
      <c r="BE9" s="193"/>
      <c r="BF9" s="193"/>
      <c r="BG9" s="193"/>
      <c r="BH9" s="193"/>
      <c r="BI9" s="193"/>
      <c r="BJ9" s="193"/>
      <c r="BK9" s="193"/>
      <c r="BL9" s="193"/>
      <c r="BM9" s="193"/>
      <c r="BN9" s="193"/>
      <c r="BO9" s="193"/>
      <c r="BP9" s="193"/>
      <c r="BQ9" s="193"/>
      <c r="BR9" s="193"/>
      <c r="BS9" s="193"/>
      <c r="BT9" s="193"/>
      <c r="BU9" s="193"/>
    </row>
    <row r="10" spans="2:73" ht="52.5" customHeight="1" x14ac:dyDescent="0.25">
      <c r="B10" s="193"/>
      <c r="C10" s="194">
        <v>4</v>
      </c>
      <c r="D10" s="195" t="s">
        <v>1702</v>
      </c>
      <c r="E10" s="195" t="s">
        <v>1703</v>
      </c>
      <c r="F10" s="195" t="s">
        <v>1660</v>
      </c>
      <c r="G10" s="195" t="s">
        <v>1704</v>
      </c>
      <c r="H10" s="195" t="s">
        <v>1702</v>
      </c>
      <c r="I10" s="195" t="s">
        <v>1703</v>
      </c>
      <c r="J10" s="195" t="s">
        <v>1705</v>
      </c>
      <c r="K10" s="195" t="s">
        <v>1706</v>
      </c>
      <c r="L10" s="195" t="s">
        <v>1707</v>
      </c>
      <c r="M10" s="195" t="s">
        <v>1708</v>
      </c>
      <c r="N10" s="196" t="s">
        <v>1709</v>
      </c>
      <c r="O10" s="195" t="s">
        <v>1710</v>
      </c>
      <c r="P10" s="195" t="s">
        <v>1629</v>
      </c>
      <c r="Q10" s="195" t="s">
        <v>1711</v>
      </c>
      <c r="R10" s="197" t="s">
        <v>1712</v>
      </c>
      <c r="S10" s="197" t="s">
        <v>1713</v>
      </c>
      <c r="T10" s="182" t="s">
        <v>1633</v>
      </c>
      <c r="U10" s="182" t="s">
        <v>1714</v>
      </c>
      <c r="V10" s="198" t="s">
        <v>1715</v>
      </c>
      <c r="W10" s="198" t="s">
        <v>1716</v>
      </c>
      <c r="X10" s="198" t="s">
        <v>1717</v>
      </c>
      <c r="Y10" s="199" t="s">
        <v>1638</v>
      </c>
      <c r="Z10" s="199" t="s">
        <v>1639</v>
      </c>
      <c r="AA10" s="199" t="s">
        <v>1640</v>
      </c>
      <c r="AB10" s="199" t="s">
        <v>1641</v>
      </c>
      <c r="AC10" s="200" t="s">
        <v>1642</v>
      </c>
      <c r="AD10" s="200" t="s">
        <v>1718</v>
      </c>
      <c r="AE10" s="200" t="s">
        <v>1644</v>
      </c>
      <c r="AF10" s="200" t="s">
        <v>1719</v>
      </c>
      <c r="AG10" s="200" t="s">
        <v>1700</v>
      </c>
      <c r="AH10" s="200" t="s">
        <v>1720</v>
      </c>
      <c r="AI10" s="200" t="s">
        <v>1648</v>
      </c>
      <c r="AJ10" s="15" t="s">
        <v>1721</v>
      </c>
      <c r="AK10" s="204" t="s">
        <v>1650</v>
      </c>
      <c r="AL10" s="204" t="s">
        <v>1651</v>
      </c>
      <c r="AM10" s="204" t="s">
        <v>1652</v>
      </c>
      <c r="AN10" s="204" t="s">
        <v>1653</v>
      </c>
      <c r="AO10" s="204" t="s">
        <v>1654</v>
      </c>
      <c r="AP10" s="204" t="s">
        <v>1655</v>
      </c>
      <c r="AQ10" s="205" t="s">
        <v>1656</v>
      </c>
      <c r="AR10" s="206" t="s">
        <v>1657</v>
      </c>
      <c r="AS10" s="193"/>
      <c r="AT10" s="193"/>
      <c r="AU10" s="193"/>
      <c r="AV10" s="193"/>
      <c r="AW10" s="193"/>
      <c r="AX10" s="193"/>
      <c r="AY10" s="193"/>
      <c r="AZ10" s="193"/>
      <c r="BA10" s="193"/>
      <c r="BB10" s="193"/>
      <c r="BC10" s="193"/>
      <c r="BD10" s="193"/>
      <c r="BE10" s="193"/>
      <c r="BF10" s="193"/>
      <c r="BG10" s="193"/>
      <c r="BH10" s="193"/>
      <c r="BI10" s="193"/>
      <c r="BJ10" s="193"/>
      <c r="BK10" s="193"/>
      <c r="BL10" s="193"/>
      <c r="BM10" s="193"/>
      <c r="BN10" s="193"/>
      <c r="BO10" s="193"/>
      <c r="BP10" s="193"/>
      <c r="BQ10" s="193"/>
      <c r="BR10" s="193"/>
      <c r="BS10" s="193"/>
      <c r="BT10" s="193"/>
      <c r="BU10" s="193"/>
    </row>
    <row r="11" spans="2:73" ht="39.75" customHeight="1" x14ac:dyDescent="0.25">
      <c r="B11" s="193"/>
      <c r="C11" s="194">
        <v>5</v>
      </c>
      <c r="D11" s="195" t="s">
        <v>1722</v>
      </c>
      <c r="E11" s="195" t="s">
        <v>1723</v>
      </c>
      <c r="F11" s="195" t="s">
        <v>1724</v>
      </c>
      <c r="G11" s="195" t="s">
        <v>1725</v>
      </c>
      <c r="H11" s="195" t="s">
        <v>1722</v>
      </c>
      <c r="I11" s="195" t="s">
        <v>1726</v>
      </c>
      <c r="J11" s="195" t="s">
        <v>1727</v>
      </c>
      <c r="K11" s="195" t="s">
        <v>1728</v>
      </c>
      <c r="L11" s="195" t="s">
        <v>1729</v>
      </c>
      <c r="M11" s="195" t="s">
        <v>1730</v>
      </c>
      <c r="N11" s="196" t="s">
        <v>1731</v>
      </c>
      <c r="O11" s="195" t="s">
        <v>1732</v>
      </c>
      <c r="P11" s="195" t="s">
        <v>1733</v>
      </c>
      <c r="Q11" s="195" t="s">
        <v>1734</v>
      </c>
      <c r="R11" s="197" t="s">
        <v>1735</v>
      </c>
      <c r="S11" s="197" t="s">
        <v>1736</v>
      </c>
      <c r="T11" s="182" t="s">
        <v>1737</v>
      </c>
      <c r="U11" s="182" t="s">
        <v>1738</v>
      </c>
      <c r="V11" s="198" t="s">
        <v>1739</v>
      </c>
      <c r="W11" s="198" t="s">
        <v>1740</v>
      </c>
      <c r="X11" s="198" t="s">
        <v>1741</v>
      </c>
      <c r="Y11" s="199" t="s">
        <v>1742</v>
      </c>
      <c r="Z11" s="199" t="s">
        <v>1743</v>
      </c>
      <c r="AA11" s="199" t="s">
        <v>1744</v>
      </c>
      <c r="AB11" s="199" t="s">
        <v>1745</v>
      </c>
      <c r="AC11" s="200" t="s">
        <v>1746</v>
      </c>
      <c r="AD11" s="200" t="s">
        <v>1718</v>
      </c>
      <c r="AE11" s="200" t="s">
        <v>1747</v>
      </c>
      <c r="AF11" s="200" t="s">
        <v>1748</v>
      </c>
      <c r="AG11" s="200" t="s">
        <v>1749</v>
      </c>
      <c r="AH11" s="200" t="s">
        <v>1677</v>
      </c>
      <c r="AI11" s="200" t="s">
        <v>1648</v>
      </c>
      <c r="AJ11" s="15" t="s">
        <v>1750</v>
      </c>
      <c r="AK11" s="201" t="s">
        <v>1751</v>
      </c>
      <c r="AL11" s="201" t="s">
        <v>1752</v>
      </c>
      <c r="AM11" s="201" t="s">
        <v>1652</v>
      </c>
      <c r="AN11" s="201" t="s">
        <v>1753</v>
      </c>
      <c r="AO11" s="201" t="s">
        <v>1654</v>
      </c>
      <c r="AP11" s="201" t="s">
        <v>1754</v>
      </c>
      <c r="AQ11" s="202" t="s">
        <v>1755</v>
      </c>
      <c r="AR11" s="203" t="s">
        <v>1756</v>
      </c>
      <c r="AS11" s="193"/>
      <c r="AT11" s="193"/>
      <c r="AU11" s="193"/>
      <c r="AV11" s="193"/>
      <c r="AW11" s="193"/>
      <c r="AX11" s="193"/>
      <c r="AY11" s="193"/>
      <c r="AZ11" s="193"/>
      <c r="BA11" s="193"/>
      <c r="BB11" s="193"/>
      <c r="BC11" s="193"/>
      <c r="BD11" s="193"/>
      <c r="BE11" s="193"/>
      <c r="BF11" s="193"/>
      <c r="BG11" s="193"/>
      <c r="BH11" s="193"/>
      <c r="BI11" s="193"/>
      <c r="BJ11" s="193"/>
      <c r="BK11" s="193"/>
      <c r="BL11" s="193"/>
      <c r="BM11" s="193"/>
      <c r="BN11" s="193"/>
      <c r="BO11" s="193"/>
      <c r="BP11" s="193"/>
      <c r="BQ11" s="193"/>
      <c r="BR11" s="193"/>
      <c r="BS11" s="193"/>
      <c r="BT11" s="193"/>
      <c r="BU11" s="193"/>
    </row>
    <row r="12" spans="2:73" ht="39.75" customHeight="1" x14ac:dyDescent="0.25">
      <c r="B12" s="193"/>
      <c r="C12" s="194">
        <v>6</v>
      </c>
      <c r="D12" s="195" t="s">
        <v>1757</v>
      </c>
      <c r="E12" s="195" t="s">
        <v>1758</v>
      </c>
      <c r="F12" s="195" t="s">
        <v>1759</v>
      </c>
      <c r="G12" s="195" t="s">
        <v>1760</v>
      </c>
      <c r="H12" s="195" t="s">
        <v>1761</v>
      </c>
      <c r="I12" s="195" t="s">
        <v>1758</v>
      </c>
      <c r="J12" s="195" t="s">
        <v>1762</v>
      </c>
      <c r="K12" s="195" t="s">
        <v>1763</v>
      </c>
      <c r="L12" s="195" t="s">
        <v>1764</v>
      </c>
      <c r="M12" s="195" t="s">
        <v>1765</v>
      </c>
      <c r="N12" s="196" t="s">
        <v>1766</v>
      </c>
      <c r="O12" s="195" t="s">
        <v>1767</v>
      </c>
      <c r="P12" s="195" t="s">
        <v>1768</v>
      </c>
      <c r="Q12" s="195" t="s">
        <v>1769</v>
      </c>
      <c r="R12" s="197" t="s">
        <v>1770</v>
      </c>
      <c r="S12" s="197" t="s">
        <v>1771</v>
      </c>
      <c r="T12" s="182" t="s">
        <v>1772</v>
      </c>
      <c r="U12" s="182" t="s">
        <v>1738</v>
      </c>
      <c r="V12" s="198" t="s">
        <v>1773</v>
      </c>
      <c r="W12" s="198" t="s">
        <v>1774</v>
      </c>
      <c r="X12" s="198" t="s">
        <v>1775</v>
      </c>
      <c r="Y12" s="199" t="s">
        <v>1742</v>
      </c>
      <c r="Z12" s="199" t="s">
        <v>1743</v>
      </c>
      <c r="AA12" s="199" t="s">
        <v>1744</v>
      </c>
      <c r="AB12" s="199" t="s">
        <v>1776</v>
      </c>
      <c r="AC12" s="200" t="s">
        <v>1746</v>
      </c>
      <c r="AD12" s="200" t="s">
        <v>1718</v>
      </c>
      <c r="AE12" s="200" t="s">
        <v>1747</v>
      </c>
      <c r="AF12" s="200" t="s">
        <v>1699</v>
      </c>
      <c r="AG12" s="200" t="s">
        <v>1777</v>
      </c>
      <c r="AH12" s="200" t="s">
        <v>1778</v>
      </c>
      <c r="AI12" s="200" t="s">
        <v>1648</v>
      </c>
      <c r="AJ12" s="15" t="s">
        <v>1779</v>
      </c>
      <c r="AK12" s="204" t="s">
        <v>1751</v>
      </c>
      <c r="AL12" s="204" t="s">
        <v>1752</v>
      </c>
      <c r="AM12" s="204" t="s">
        <v>1780</v>
      </c>
      <c r="AN12" s="204" t="s">
        <v>1753</v>
      </c>
      <c r="AO12" s="204" t="s">
        <v>1654</v>
      </c>
      <c r="AP12" s="204" t="s">
        <v>1754</v>
      </c>
      <c r="AQ12" s="205" t="s">
        <v>1781</v>
      </c>
      <c r="AR12" s="206" t="s">
        <v>1756</v>
      </c>
      <c r="AS12" s="193"/>
      <c r="AT12" s="193"/>
      <c r="AU12" s="193"/>
      <c r="AV12" s="193"/>
      <c r="AW12" s="193"/>
      <c r="AX12" s="193"/>
      <c r="AY12" s="193"/>
      <c r="AZ12" s="193"/>
      <c r="BA12" s="193"/>
      <c r="BB12" s="193"/>
      <c r="BC12" s="193"/>
      <c r="BD12" s="193"/>
      <c r="BE12" s="193"/>
      <c r="BF12" s="193"/>
      <c r="BG12" s="193"/>
      <c r="BH12" s="193"/>
      <c r="BI12" s="193"/>
      <c r="BJ12" s="193"/>
      <c r="BK12" s="193"/>
      <c r="BL12" s="193"/>
      <c r="BM12" s="193"/>
      <c r="BN12" s="193"/>
      <c r="BO12" s="193"/>
      <c r="BP12" s="193"/>
      <c r="BQ12" s="193"/>
      <c r="BR12" s="193"/>
      <c r="BS12" s="193"/>
      <c r="BT12" s="193"/>
      <c r="BU12" s="193"/>
    </row>
    <row r="13" spans="2:73" ht="39.75" customHeight="1" x14ac:dyDescent="0.25">
      <c r="B13" s="193"/>
      <c r="C13" s="194">
        <v>7</v>
      </c>
      <c r="D13" s="195" t="s">
        <v>1782</v>
      </c>
      <c r="E13" s="195" t="s">
        <v>1783</v>
      </c>
      <c r="F13" s="195" t="s">
        <v>1784</v>
      </c>
      <c r="G13" s="195" t="s">
        <v>1785</v>
      </c>
      <c r="H13" s="195" t="s">
        <v>1786</v>
      </c>
      <c r="I13" s="195" t="s">
        <v>1783</v>
      </c>
      <c r="J13" s="195" t="s">
        <v>1787</v>
      </c>
      <c r="K13" s="195" t="s">
        <v>1788</v>
      </c>
      <c r="L13" s="195" t="s">
        <v>1789</v>
      </c>
      <c r="M13" s="195" t="s">
        <v>1790</v>
      </c>
      <c r="N13" s="196" t="s">
        <v>1791</v>
      </c>
      <c r="O13" s="195" t="s">
        <v>1792</v>
      </c>
      <c r="P13" s="195" t="s">
        <v>1793</v>
      </c>
      <c r="Q13" s="195" t="s">
        <v>1794</v>
      </c>
      <c r="R13" s="197" t="s">
        <v>1795</v>
      </c>
      <c r="S13" s="197" t="s">
        <v>1796</v>
      </c>
      <c r="T13" s="182" t="s">
        <v>1772</v>
      </c>
      <c r="U13" s="182" t="s">
        <v>1737</v>
      </c>
      <c r="V13" s="198" t="s">
        <v>1797</v>
      </c>
      <c r="W13" s="198" t="s">
        <v>1798</v>
      </c>
      <c r="X13" s="198" t="s">
        <v>1799</v>
      </c>
      <c r="Y13" s="199" t="s">
        <v>1742</v>
      </c>
      <c r="Z13" s="199" t="s">
        <v>1743</v>
      </c>
      <c r="AA13" s="199" t="s">
        <v>1744</v>
      </c>
      <c r="AB13" s="199" t="s">
        <v>1800</v>
      </c>
      <c r="AC13" s="200" t="s">
        <v>1746</v>
      </c>
      <c r="AD13" s="200" t="s">
        <v>1718</v>
      </c>
      <c r="AE13" s="200" t="s">
        <v>1747</v>
      </c>
      <c r="AF13" s="200" t="s">
        <v>1699</v>
      </c>
      <c r="AG13" s="200" t="s">
        <v>1749</v>
      </c>
      <c r="AH13" s="200" t="s">
        <v>1677</v>
      </c>
      <c r="AI13" s="200" t="s">
        <v>1648</v>
      </c>
      <c r="AJ13" s="15" t="s">
        <v>1801</v>
      </c>
      <c r="AK13" s="201" t="s">
        <v>1802</v>
      </c>
      <c r="AL13" s="201" t="s">
        <v>1803</v>
      </c>
      <c r="AM13" s="201" t="s">
        <v>1780</v>
      </c>
      <c r="AN13" s="201" t="s">
        <v>1753</v>
      </c>
      <c r="AO13" s="201" t="s">
        <v>1654</v>
      </c>
      <c r="AP13" s="201" t="s">
        <v>1754</v>
      </c>
      <c r="AQ13" s="202" t="s">
        <v>1804</v>
      </c>
      <c r="AR13" s="203" t="s">
        <v>1805</v>
      </c>
      <c r="AS13" s="193"/>
      <c r="AT13" s="193"/>
      <c r="AU13" s="193"/>
      <c r="AV13" s="193"/>
      <c r="AW13" s="193"/>
      <c r="AX13" s="193"/>
      <c r="AY13" s="193"/>
      <c r="AZ13" s="193"/>
      <c r="BA13" s="193"/>
      <c r="BB13" s="193"/>
      <c r="BC13" s="193"/>
      <c r="BD13" s="193"/>
      <c r="BE13" s="193"/>
      <c r="BF13" s="193"/>
      <c r="BG13" s="193"/>
      <c r="BH13" s="193"/>
      <c r="BI13" s="193"/>
      <c r="BJ13" s="193"/>
      <c r="BK13" s="193"/>
      <c r="BL13" s="193"/>
      <c r="BM13" s="193"/>
      <c r="BN13" s="193"/>
      <c r="BO13" s="193"/>
      <c r="BP13" s="193"/>
      <c r="BQ13" s="193"/>
      <c r="BR13" s="193"/>
      <c r="BS13" s="193"/>
      <c r="BT13" s="193"/>
      <c r="BU13" s="193"/>
    </row>
    <row r="14" spans="2:73" ht="39.75" customHeight="1" x14ac:dyDescent="0.25">
      <c r="B14" s="193"/>
      <c r="C14" s="194">
        <v>8</v>
      </c>
      <c r="D14" s="195" t="s">
        <v>1806</v>
      </c>
      <c r="E14" s="195" t="s">
        <v>1807</v>
      </c>
      <c r="F14" s="195" t="s">
        <v>1808</v>
      </c>
      <c r="G14" s="195" t="s">
        <v>1809</v>
      </c>
      <c r="H14" s="195" t="s">
        <v>1810</v>
      </c>
      <c r="I14" s="195" t="s">
        <v>1811</v>
      </c>
      <c r="J14" s="195" t="s">
        <v>1812</v>
      </c>
      <c r="K14" s="195" t="s">
        <v>1813</v>
      </c>
      <c r="L14" s="195" t="s">
        <v>1814</v>
      </c>
      <c r="M14" s="195" t="s">
        <v>1815</v>
      </c>
      <c r="N14" s="196" t="s">
        <v>1816</v>
      </c>
      <c r="O14" s="195" t="s">
        <v>1817</v>
      </c>
      <c r="P14" s="195" t="s">
        <v>1818</v>
      </c>
      <c r="Q14" s="195" t="s">
        <v>1819</v>
      </c>
      <c r="R14" s="197" t="s">
        <v>1820</v>
      </c>
      <c r="S14" s="197" t="s">
        <v>1821</v>
      </c>
      <c r="T14" s="182" t="s">
        <v>1822</v>
      </c>
      <c r="U14" s="182" t="s">
        <v>1823</v>
      </c>
      <c r="V14" s="198" t="s">
        <v>1824</v>
      </c>
      <c r="W14" s="198" t="s">
        <v>1825</v>
      </c>
      <c r="X14" s="198" t="s">
        <v>1826</v>
      </c>
      <c r="Y14" s="199" t="s">
        <v>1742</v>
      </c>
      <c r="Z14" s="199" t="s">
        <v>1743</v>
      </c>
      <c r="AA14" s="199" t="s">
        <v>1744</v>
      </c>
      <c r="AB14" s="199" t="s">
        <v>1776</v>
      </c>
      <c r="AC14" s="200" t="s">
        <v>1746</v>
      </c>
      <c r="AD14" s="200" t="s">
        <v>1718</v>
      </c>
      <c r="AE14" s="200" t="s">
        <v>1747</v>
      </c>
      <c r="AF14" s="200" t="s">
        <v>1748</v>
      </c>
      <c r="AG14" s="200" t="s">
        <v>1777</v>
      </c>
      <c r="AH14" s="200" t="s">
        <v>1827</v>
      </c>
      <c r="AI14" s="200" t="s">
        <v>1648</v>
      </c>
      <c r="AJ14" s="15" t="s">
        <v>1828</v>
      </c>
      <c r="AK14" s="204" t="s">
        <v>1829</v>
      </c>
      <c r="AL14" s="204" t="s">
        <v>1830</v>
      </c>
      <c r="AM14" s="204" t="s">
        <v>1780</v>
      </c>
      <c r="AN14" s="204" t="s">
        <v>1753</v>
      </c>
      <c r="AO14" s="204" t="s">
        <v>1654</v>
      </c>
      <c r="AP14" s="204" t="s">
        <v>1655</v>
      </c>
      <c r="AQ14" s="205" t="s">
        <v>1831</v>
      </c>
      <c r="AR14" s="206" t="s">
        <v>1832</v>
      </c>
      <c r="AS14" s="193"/>
      <c r="AT14" s="193"/>
      <c r="AU14" s="193"/>
      <c r="AV14" s="193"/>
      <c r="AW14" s="193"/>
      <c r="AX14" s="193"/>
      <c r="AY14" s="193"/>
      <c r="AZ14" s="193"/>
      <c r="BA14" s="193"/>
      <c r="BB14" s="193"/>
      <c r="BC14" s="193"/>
      <c r="BD14" s="193"/>
      <c r="BE14" s="193"/>
      <c r="BF14" s="193"/>
      <c r="BG14" s="193"/>
      <c r="BH14" s="193"/>
      <c r="BI14" s="193"/>
      <c r="BJ14" s="193"/>
      <c r="BK14" s="193"/>
      <c r="BL14" s="193"/>
      <c r="BM14" s="193"/>
      <c r="BN14" s="193"/>
      <c r="BO14" s="193"/>
      <c r="BP14" s="193"/>
      <c r="BQ14" s="193"/>
      <c r="BR14" s="193"/>
      <c r="BS14" s="193"/>
      <c r="BT14" s="193"/>
      <c r="BU14" s="193"/>
    </row>
    <row r="15" spans="2:73" ht="39.75" customHeight="1" x14ac:dyDescent="0.25">
      <c r="B15" s="193"/>
      <c r="C15" s="194">
        <v>9</v>
      </c>
      <c r="D15" s="195" t="s">
        <v>1833</v>
      </c>
      <c r="E15" s="195" t="s">
        <v>1834</v>
      </c>
      <c r="F15" s="195" t="s">
        <v>1835</v>
      </c>
      <c r="G15" s="195" t="s">
        <v>1836</v>
      </c>
      <c r="H15" s="195" t="s">
        <v>1833</v>
      </c>
      <c r="I15" s="195" t="s">
        <v>1837</v>
      </c>
      <c r="J15" s="195" t="s">
        <v>1838</v>
      </c>
      <c r="K15" s="195" t="s">
        <v>1839</v>
      </c>
      <c r="L15" s="195" t="s">
        <v>1840</v>
      </c>
      <c r="M15" s="195" t="s">
        <v>1841</v>
      </c>
      <c r="N15" s="196" t="s">
        <v>1842</v>
      </c>
      <c r="O15" s="195" t="s">
        <v>1843</v>
      </c>
      <c r="P15" s="195" t="s">
        <v>1844</v>
      </c>
      <c r="Q15" s="195" t="s">
        <v>1845</v>
      </c>
      <c r="R15" s="197" t="s">
        <v>1846</v>
      </c>
      <c r="S15" s="197" t="s">
        <v>1847</v>
      </c>
      <c r="T15" s="182" t="s">
        <v>1848</v>
      </c>
      <c r="U15" s="182" t="s">
        <v>1737</v>
      </c>
      <c r="V15" s="198" t="s">
        <v>1849</v>
      </c>
      <c r="W15" s="198" t="s">
        <v>1850</v>
      </c>
      <c r="X15" s="198" t="s">
        <v>1851</v>
      </c>
      <c r="Y15" s="199" t="s">
        <v>1852</v>
      </c>
      <c r="Z15" s="199" t="s">
        <v>1853</v>
      </c>
      <c r="AA15" s="199" t="s">
        <v>1854</v>
      </c>
      <c r="AB15" s="199" t="s">
        <v>1855</v>
      </c>
      <c r="AC15" s="200" t="s">
        <v>1856</v>
      </c>
      <c r="AD15" s="200" t="s">
        <v>1646</v>
      </c>
      <c r="AE15" s="200" t="s">
        <v>1644</v>
      </c>
      <c r="AF15" s="200" t="s">
        <v>1699</v>
      </c>
      <c r="AG15" s="200" t="s">
        <v>1857</v>
      </c>
      <c r="AH15" s="200" t="s">
        <v>1858</v>
      </c>
      <c r="AI15" s="200" t="s">
        <v>1648</v>
      </c>
      <c r="AJ15" s="15" t="s">
        <v>1859</v>
      </c>
      <c r="AK15" s="201" t="s">
        <v>1860</v>
      </c>
      <c r="AL15" s="201" t="s">
        <v>1861</v>
      </c>
      <c r="AM15" s="201" t="s">
        <v>1862</v>
      </c>
      <c r="AN15" s="201" t="s">
        <v>1863</v>
      </c>
      <c r="AO15" s="201" t="s">
        <v>1654</v>
      </c>
      <c r="AP15" s="201" t="s">
        <v>1754</v>
      </c>
      <c r="AQ15" s="202" t="s">
        <v>1864</v>
      </c>
      <c r="AR15" s="203" t="s">
        <v>1865</v>
      </c>
      <c r="AS15" s="193"/>
      <c r="AT15" s="193"/>
      <c r="AU15" s="193"/>
      <c r="AV15" s="193"/>
      <c r="AW15" s="193"/>
      <c r="AX15" s="193"/>
      <c r="AY15" s="193"/>
      <c r="AZ15" s="193"/>
      <c r="BA15" s="193"/>
      <c r="BB15" s="193"/>
      <c r="BC15" s="193"/>
      <c r="BD15" s="193"/>
      <c r="BE15" s="193"/>
      <c r="BF15" s="193"/>
      <c r="BG15" s="193"/>
      <c r="BH15" s="193"/>
      <c r="BI15" s="193"/>
      <c r="BJ15" s="193"/>
      <c r="BK15" s="193"/>
      <c r="BL15" s="193"/>
      <c r="BM15" s="193"/>
      <c r="BN15" s="193"/>
      <c r="BO15" s="193"/>
      <c r="BP15" s="193"/>
      <c r="BQ15" s="193"/>
      <c r="BR15" s="193"/>
      <c r="BS15" s="193"/>
      <c r="BT15" s="193"/>
      <c r="BU15" s="193"/>
    </row>
    <row r="16" spans="2:73" ht="39.75" customHeight="1" x14ac:dyDescent="0.25">
      <c r="B16" s="193"/>
      <c r="C16" s="194">
        <v>10</v>
      </c>
      <c r="D16" s="195" t="s">
        <v>1866</v>
      </c>
      <c r="E16" s="195" t="s">
        <v>1867</v>
      </c>
      <c r="F16" s="195" t="s">
        <v>1868</v>
      </c>
      <c r="G16" s="195" t="s">
        <v>1869</v>
      </c>
      <c r="H16" s="195" t="s">
        <v>1870</v>
      </c>
      <c r="I16" s="195" t="s">
        <v>1871</v>
      </c>
      <c r="J16" s="195" t="s">
        <v>1872</v>
      </c>
      <c r="K16" s="195" t="s">
        <v>1873</v>
      </c>
      <c r="L16" s="195" t="s">
        <v>1874</v>
      </c>
      <c r="M16" s="195" t="s">
        <v>1875</v>
      </c>
      <c r="N16" s="196" t="s">
        <v>1876</v>
      </c>
      <c r="O16" s="195" t="s">
        <v>1877</v>
      </c>
      <c r="P16" s="195" t="s">
        <v>1878</v>
      </c>
      <c r="Q16" s="195" t="s">
        <v>1879</v>
      </c>
      <c r="R16" s="197" t="s">
        <v>1880</v>
      </c>
      <c r="S16" s="197" t="s">
        <v>1881</v>
      </c>
      <c r="T16" s="182" t="s">
        <v>1848</v>
      </c>
      <c r="U16" s="182" t="s">
        <v>1714</v>
      </c>
      <c r="V16" s="198" t="s">
        <v>1882</v>
      </c>
      <c r="W16" s="198" t="s">
        <v>1883</v>
      </c>
      <c r="X16" s="198" t="s">
        <v>1884</v>
      </c>
      <c r="Y16" s="199" t="s">
        <v>1852</v>
      </c>
      <c r="Z16" s="199" t="s">
        <v>1853</v>
      </c>
      <c r="AA16" s="199" t="s">
        <v>1854</v>
      </c>
      <c r="AB16" s="199" t="s">
        <v>1800</v>
      </c>
      <c r="AC16" s="200" t="s">
        <v>1856</v>
      </c>
      <c r="AD16" s="200" t="s">
        <v>1646</v>
      </c>
      <c r="AE16" s="200" t="s">
        <v>1644</v>
      </c>
      <c r="AF16" s="200" t="s">
        <v>1885</v>
      </c>
      <c r="AG16" s="200" t="s">
        <v>1857</v>
      </c>
      <c r="AH16" s="200" t="s">
        <v>1858</v>
      </c>
      <c r="AI16" s="200" t="s">
        <v>1648</v>
      </c>
      <c r="AJ16" s="15" t="s">
        <v>1886</v>
      </c>
      <c r="AK16" s="204" t="s">
        <v>1860</v>
      </c>
      <c r="AL16" s="204" t="s">
        <v>1861</v>
      </c>
      <c r="AM16" s="204" t="s">
        <v>1652</v>
      </c>
      <c r="AN16" s="204" t="s">
        <v>1863</v>
      </c>
      <c r="AO16" s="204" t="s">
        <v>1654</v>
      </c>
      <c r="AP16" s="204" t="s">
        <v>1754</v>
      </c>
      <c r="AQ16" s="205" t="s">
        <v>1887</v>
      </c>
      <c r="AR16" s="206" t="s">
        <v>1865</v>
      </c>
      <c r="AS16" s="193"/>
      <c r="AT16" s="193"/>
      <c r="AU16" s="193"/>
      <c r="AV16" s="193"/>
      <c r="AW16" s="193"/>
      <c r="AX16" s="193"/>
      <c r="AY16" s="193"/>
      <c r="AZ16" s="193"/>
      <c r="BA16" s="193"/>
      <c r="BB16" s="193"/>
      <c r="BC16" s="193"/>
      <c r="BD16" s="193"/>
      <c r="BE16" s="193"/>
      <c r="BF16" s="193"/>
      <c r="BG16" s="193"/>
      <c r="BH16" s="193"/>
      <c r="BI16" s="193"/>
      <c r="BJ16" s="193"/>
      <c r="BK16" s="193"/>
      <c r="BL16" s="193"/>
      <c r="BM16" s="193"/>
      <c r="BN16" s="193"/>
      <c r="BO16" s="193"/>
      <c r="BP16" s="193"/>
      <c r="BQ16" s="193"/>
      <c r="BR16" s="193"/>
      <c r="BS16" s="193"/>
      <c r="BT16" s="193"/>
      <c r="BU16" s="193"/>
    </row>
    <row r="17" spans="2:73" ht="48.75" customHeight="1" x14ac:dyDescent="0.25">
      <c r="B17" s="193"/>
      <c r="C17" s="194">
        <v>11</v>
      </c>
      <c r="D17" s="195" t="s">
        <v>1888</v>
      </c>
      <c r="E17" s="195" t="s">
        <v>1889</v>
      </c>
      <c r="F17" s="195" t="s">
        <v>1890</v>
      </c>
      <c r="G17" s="195" t="s">
        <v>1891</v>
      </c>
      <c r="H17" s="195" t="s">
        <v>1888</v>
      </c>
      <c r="I17" s="195" t="s">
        <v>1892</v>
      </c>
      <c r="J17" s="195" t="s">
        <v>1893</v>
      </c>
      <c r="K17" s="195" t="s">
        <v>1894</v>
      </c>
      <c r="L17" s="195" t="s">
        <v>1895</v>
      </c>
      <c r="M17" s="195" t="s">
        <v>1896</v>
      </c>
      <c r="N17" s="195" t="s">
        <v>1897</v>
      </c>
      <c r="O17" s="195" t="s">
        <v>1898</v>
      </c>
      <c r="P17" s="195" t="s">
        <v>1899</v>
      </c>
      <c r="Q17" s="195" t="s">
        <v>1900</v>
      </c>
      <c r="R17" s="197" t="s">
        <v>1901</v>
      </c>
      <c r="S17" s="197" t="s">
        <v>1902</v>
      </c>
      <c r="T17" s="182" t="s">
        <v>1822</v>
      </c>
      <c r="U17" s="182" t="s">
        <v>1903</v>
      </c>
      <c r="V17" s="198" t="s">
        <v>1904</v>
      </c>
      <c r="W17" s="198" t="s">
        <v>1905</v>
      </c>
      <c r="X17" s="198" t="s">
        <v>1906</v>
      </c>
      <c r="Y17" s="199" t="s">
        <v>1907</v>
      </c>
      <c r="Z17" s="199" t="s">
        <v>1908</v>
      </c>
      <c r="AA17" s="199" t="s">
        <v>1909</v>
      </c>
      <c r="AB17" s="199" t="s">
        <v>1800</v>
      </c>
      <c r="AC17" s="200" t="s">
        <v>1746</v>
      </c>
      <c r="AD17" s="200" t="s">
        <v>1718</v>
      </c>
      <c r="AE17" s="200" t="s">
        <v>1910</v>
      </c>
      <c r="AF17" s="200" t="s">
        <v>1645</v>
      </c>
      <c r="AG17" s="200" t="s">
        <v>1700</v>
      </c>
      <c r="AH17" s="200" t="s">
        <v>1911</v>
      </c>
      <c r="AI17" s="200" t="s">
        <v>1648</v>
      </c>
      <c r="AJ17" s="15" t="s">
        <v>1912</v>
      </c>
      <c r="AK17" s="201" t="s">
        <v>1913</v>
      </c>
      <c r="AL17" s="201" t="s">
        <v>1914</v>
      </c>
      <c r="AM17" s="201" t="s">
        <v>1915</v>
      </c>
      <c r="AN17" s="201" t="s">
        <v>1863</v>
      </c>
      <c r="AO17" s="201" t="s">
        <v>1916</v>
      </c>
      <c r="AP17" s="201" t="s">
        <v>1917</v>
      </c>
      <c r="AQ17" s="202" t="s">
        <v>1918</v>
      </c>
      <c r="AR17" s="203" t="s">
        <v>1919</v>
      </c>
      <c r="AS17" s="193"/>
      <c r="AT17" s="193"/>
      <c r="AU17" s="193"/>
      <c r="AV17" s="193"/>
      <c r="AW17" s="193"/>
      <c r="AX17" s="193"/>
      <c r="AY17" s="193"/>
      <c r="AZ17" s="193"/>
      <c r="BA17" s="193"/>
      <c r="BB17" s="193"/>
      <c r="BC17" s="193"/>
      <c r="BD17" s="193"/>
      <c r="BE17" s="193"/>
      <c r="BF17" s="193"/>
      <c r="BG17" s="193"/>
      <c r="BH17" s="193"/>
      <c r="BI17" s="193"/>
      <c r="BJ17" s="193"/>
      <c r="BK17" s="193"/>
      <c r="BL17" s="193"/>
      <c r="BM17" s="193"/>
      <c r="BN17" s="193"/>
      <c r="BO17" s="193"/>
      <c r="BP17" s="193"/>
      <c r="BQ17" s="193"/>
      <c r="BR17" s="193"/>
      <c r="BS17" s="193"/>
      <c r="BT17" s="193"/>
      <c r="BU17" s="193"/>
    </row>
    <row r="18" spans="2:73" ht="49.5" customHeight="1" x14ac:dyDescent="0.25">
      <c r="B18" s="193"/>
      <c r="C18" s="194">
        <v>12</v>
      </c>
      <c r="D18" s="195" t="s">
        <v>1920</v>
      </c>
      <c r="E18" s="195" t="s">
        <v>1726</v>
      </c>
      <c r="F18" s="195" t="s">
        <v>1921</v>
      </c>
      <c r="G18" s="195" t="s">
        <v>1922</v>
      </c>
      <c r="H18" s="195" t="s">
        <v>1920</v>
      </c>
      <c r="I18" s="195" t="s">
        <v>1726</v>
      </c>
      <c r="J18" s="195" t="s">
        <v>1923</v>
      </c>
      <c r="K18" s="195" t="s">
        <v>1924</v>
      </c>
      <c r="L18" s="195" t="s">
        <v>1925</v>
      </c>
      <c r="M18" s="195" t="s">
        <v>1790</v>
      </c>
      <c r="N18" s="195" t="s">
        <v>1926</v>
      </c>
      <c r="O18" s="195" t="s">
        <v>1927</v>
      </c>
      <c r="P18" s="195" t="s">
        <v>1629</v>
      </c>
      <c r="Q18" s="195" t="s">
        <v>1928</v>
      </c>
      <c r="R18" s="197" t="s">
        <v>1929</v>
      </c>
      <c r="S18" s="197" t="s">
        <v>1930</v>
      </c>
      <c r="T18" s="182" t="s">
        <v>1931</v>
      </c>
      <c r="U18" s="182" t="s">
        <v>1932</v>
      </c>
      <c r="V18" s="198" t="s">
        <v>1933</v>
      </c>
      <c r="W18" s="198" t="s">
        <v>1934</v>
      </c>
      <c r="X18" s="198" t="s">
        <v>1935</v>
      </c>
      <c r="Y18" s="199" t="s">
        <v>1907</v>
      </c>
      <c r="Z18" s="199" t="s">
        <v>1908</v>
      </c>
      <c r="AA18" s="199" t="s">
        <v>1909</v>
      </c>
      <c r="AB18" s="199" t="s">
        <v>1800</v>
      </c>
      <c r="AC18" s="200" t="s">
        <v>1746</v>
      </c>
      <c r="AD18" s="200" t="s">
        <v>1718</v>
      </c>
      <c r="AE18" s="200" t="s">
        <v>1644</v>
      </c>
      <c r="AF18" s="200" t="s">
        <v>1677</v>
      </c>
      <c r="AG18" s="200" t="s">
        <v>1857</v>
      </c>
      <c r="AH18" s="200" t="s">
        <v>1677</v>
      </c>
      <c r="AI18" s="200" t="s">
        <v>1648</v>
      </c>
      <c r="AJ18" s="15" t="s">
        <v>1936</v>
      </c>
      <c r="AK18" s="204" t="s">
        <v>1913</v>
      </c>
      <c r="AL18" s="204" t="s">
        <v>1914</v>
      </c>
      <c r="AM18" s="204" t="s">
        <v>1652</v>
      </c>
      <c r="AN18" s="204" t="s">
        <v>1863</v>
      </c>
      <c r="AO18" s="204" t="s">
        <v>1937</v>
      </c>
      <c r="AP18" s="204" t="s">
        <v>1917</v>
      </c>
      <c r="AQ18" s="205" t="s">
        <v>1938</v>
      </c>
      <c r="AR18" s="206" t="s">
        <v>1919</v>
      </c>
      <c r="AS18" s="193"/>
      <c r="AT18" s="193"/>
      <c r="AU18" s="193"/>
      <c r="AV18" s="193"/>
      <c r="AW18" s="193"/>
      <c r="AX18" s="193"/>
      <c r="AY18" s="193"/>
      <c r="AZ18" s="193"/>
      <c r="BA18" s="193"/>
      <c r="BB18" s="193"/>
      <c r="BC18" s="193"/>
      <c r="BD18" s="193"/>
      <c r="BE18" s="193"/>
      <c r="BF18" s="193"/>
      <c r="BG18" s="193"/>
      <c r="BH18" s="193"/>
      <c r="BI18" s="193"/>
      <c r="BJ18" s="193"/>
      <c r="BK18" s="193"/>
      <c r="BL18" s="193"/>
      <c r="BM18" s="193"/>
      <c r="BN18" s="193"/>
      <c r="BO18" s="193"/>
      <c r="BP18" s="193"/>
      <c r="BQ18" s="193"/>
      <c r="BR18" s="193"/>
      <c r="BS18" s="193"/>
      <c r="BT18" s="193"/>
      <c r="BU18" s="193"/>
    </row>
    <row r="19" spans="2:73" ht="55.5" customHeight="1" x14ac:dyDescent="0.25">
      <c r="B19" s="193"/>
      <c r="C19" s="194">
        <v>13</v>
      </c>
      <c r="D19" s="195" t="s">
        <v>1939</v>
      </c>
      <c r="E19" s="195" t="s">
        <v>1940</v>
      </c>
      <c r="F19" s="195" t="s">
        <v>1941</v>
      </c>
      <c r="G19" s="195" t="s">
        <v>1942</v>
      </c>
      <c r="H19" s="195" t="s">
        <v>1939</v>
      </c>
      <c r="I19" s="195" t="s">
        <v>1943</v>
      </c>
      <c r="J19" s="195" t="s">
        <v>1944</v>
      </c>
      <c r="K19" s="195" t="s">
        <v>1945</v>
      </c>
      <c r="L19" s="195" t="s">
        <v>1275</v>
      </c>
      <c r="M19" s="195" t="s">
        <v>1790</v>
      </c>
      <c r="N19" s="195" t="s">
        <v>1946</v>
      </c>
      <c r="O19" s="195" t="s">
        <v>1947</v>
      </c>
      <c r="P19" s="195" t="s">
        <v>1948</v>
      </c>
      <c r="Q19" s="195" t="s">
        <v>1949</v>
      </c>
      <c r="R19" s="197" t="s">
        <v>1950</v>
      </c>
      <c r="S19" s="197" t="s">
        <v>1951</v>
      </c>
      <c r="T19" s="182" t="s">
        <v>1848</v>
      </c>
      <c r="U19" s="182" t="s">
        <v>1952</v>
      </c>
      <c r="V19" s="198" t="s">
        <v>1953</v>
      </c>
      <c r="W19" s="198" t="s">
        <v>1954</v>
      </c>
      <c r="X19" s="198" t="s">
        <v>1955</v>
      </c>
      <c r="Y19" s="199" t="s">
        <v>1907</v>
      </c>
      <c r="Z19" s="199" t="s">
        <v>1908</v>
      </c>
      <c r="AA19" s="199" t="s">
        <v>1909</v>
      </c>
      <c r="AB19" s="199" t="s">
        <v>1800</v>
      </c>
      <c r="AC19" s="200" t="s">
        <v>1746</v>
      </c>
      <c r="AD19" s="200" t="s">
        <v>1718</v>
      </c>
      <c r="AE19" s="200" t="s">
        <v>1910</v>
      </c>
      <c r="AF19" s="200" t="s">
        <v>1645</v>
      </c>
      <c r="AG19" s="200" t="s">
        <v>1700</v>
      </c>
      <c r="AH19" s="200" t="s">
        <v>1677</v>
      </c>
      <c r="AI19" s="200" t="s">
        <v>1648</v>
      </c>
      <c r="AJ19" s="15" t="s">
        <v>1956</v>
      </c>
      <c r="AK19" s="201" t="s">
        <v>1913</v>
      </c>
      <c r="AL19" s="201" t="s">
        <v>1914</v>
      </c>
      <c r="AM19" s="201" t="s">
        <v>1652</v>
      </c>
      <c r="AN19" s="201" t="s">
        <v>1863</v>
      </c>
      <c r="AO19" s="201" t="s">
        <v>1957</v>
      </c>
      <c r="AP19" s="201" t="s">
        <v>1917</v>
      </c>
      <c r="AQ19" s="202" t="s">
        <v>1958</v>
      </c>
      <c r="AR19" s="203" t="s">
        <v>1919</v>
      </c>
      <c r="AS19" s="193"/>
      <c r="AT19" s="193"/>
      <c r="AU19" s="193"/>
      <c r="AV19" s="193"/>
      <c r="AW19" s="193"/>
      <c r="AX19" s="193"/>
      <c r="AY19" s="193"/>
      <c r="AZ19" s="193"/>
      <c r="BA19" s="193"/>
      <c r="BB19" s="193"/>
      <c r="BC19" s="193"/>
      <c r="BD19" s="193"/>
      <c r="BE19" s="193"/>
      <c r="BF19" s="193"/>
      <c r="BG19" s="193"/>
      <c r="BH19" s="193"/>
      <c r="BI19" s="193"/>
      <c r="BJ19" s="193"/>
      <c r="BK19" s="193"/>
      <c r="BL19" s="193"/>
      <c r="BM19" s="193"/>
      <c r="BN19" s="193"/>
      <c r="BO19" s="193"/>
      <c r="BP19" s="193"/>
      <c r="BQ19" s="193"/>
      <c r="BR19" s="193"/>
      <c r="BS19" s="193"/>
      <c r="BT19" s="193"/>
      <c r="BU19" s="193"/>
    </row>
    <row r="20" spans="2:73" ht="50.25" customHeight="1" x14ac:dyDescent="0.25">
      <c r="B20" s="193"/>
      <c r="C20" s="194">
        <v>14</v>
      </c>
      <c r="D20" s="195" t="s">
        <v>1959</v>
      </c>
      <c r="E20" s="195" t="s">
        <v>1960</v>
      </c>
      <c r="F20" s="195" t="s">
        <v>1961</v>
      </c>
      <c r="G20" s="195" t="s">
        <v>1962</v>
      </c>
      <c r="H20" s="195" t="s">
        <v>1963</v>
      </c>
      <c r="I20" s="195" t="s">
        <v>1960</v>
      </c>
      <c r="J20" s="195" t="s">
        <v>1964</v>
      </c>
      <c r="K20" s="195" t="s">
        <v>1965</v>
      </c>
      <c r="L20" s="195" t="s">
        <v>1966</v>
      </c>
      <c r="M20" s="195" t="s">
        <v>1967</v>
      </c>
      <c r="N20" s="196" t="s">
        <v>1968</v>
      </c>
      <c r="O20" s="195" t="s">
        <v>1969</v>
      </c>
      <c r="P20" s="195" t="s">
        <v>1970</v>
      </c>
      <c r="Q20" s="195" t="s">
        <v>1971</v>
      </c>
      <c r="R20" s="197" t="s">
        <v>1972</v>
      </c>
      <c r="S20" s="197" t="s">
        <v>1973</v>
      </c>
      <c r="T20" s="182" t="s">
        <v>1903</v>
      </c>
      <c r="U20" s="182" t="s">
        <v>1823</v>
      </c>
      <c r="V20" s="198" t="s">
        <v>1974</v>
      </c>
      <c r="W20" s="198" t="s">
        <v>1975</v>
      </c>
      <c r="X20" s="198" t="s">
        <v>1976</v>
      </c>
      <c r="Y20" s="199" t="s">
        <v>1977</v>
      </c>
      <c r="Z20" s="199" t="s">
        <v>1978</v>
      </c>
      <c r="AA20" s="199" t="s">
        <v>1979</v>
      </c>
      <c r="AB20" s="199" t="s">
        <v>1980</v>
      </c>
      <c r="AC20" s="200" t="s">
        <v>1746</v>
      </c>
      <c r="AD20" s="200" t="s">
        <v>1718</v>
      </c>
      <c r="AE20" s="200" t="s">
        <v>1644</v>
      </c>
      <c r="AF20" s="200" t="s">
        <v>1981</v>
      </c>
      <c r="AG20" s="200" t="s">
        <v>1646</v>
      </c>
      <c r="AH20" s="200" t="s">
        <v>1778</v>
      </c>
      <c r="AI20" s="200" t="s">
        <v>1648</v>
      </c>
      <c r="AJ20" s="15" t="s">
        <v>1982</v>
      </c>
      <c r="AK20" s="204" t="s">
        <v>1983</v>
      </c>
      <c r="AL20" s="204" t="s">
        <v>1984</v>
      </c>
      <c r="AM20" s="204" t="s">
        <v>1983</v>
      </c>
      <c r="AN20" s="204" t="s">
        <v>1753</v>
      </c>
      <c r="AO20" s="204" t="s">
        <v>1654</v>
      </c>
      <c r="AP20" s="204" t="s">
        <v>1917</v>
      </c>
      <c r="AQ20" s="205" t="s">
        <v>1985</v>
      </c>
      <c r="AR20" s="206" t="s">
        <v>1986</v>
      </c>
      <c r="AS20" s="193"/>
      <c r="AT20" s="193"/>
      <c r="AU20" s="193"/>
      <c r="AV20" s="193"/>
      <c r="AW20" s="193"/>
      <c r="AX20" s="193"/>
      <c r="AY20" s="193"/>
      <c r="AZ20" s="193"/>
      <c r="BA20" s="193"/>
      <c r="BB20" s="193"/>
      <c r="BC20" s="193"/>
      <c r="BD20" s="193"/>
      <c r="BE20" s="193"/>
      <c r="BF20" s="193"/>
      <c r="BG20" s="193"/>
      <c r="BH20" s="193"/>
      <c r="BI20" s="193"/>
      <c r="BJ20" s="193"/>
      <c r="BK20" s="193"/>
      <c r="BL20" s="193"/>
      <c r="BM20" s="193"/>
      <c r="BN20" s="193"/>
      <c r="BO20" s="193"/>
      <c r="BP20" s="193"/>
      <c r="BQ20" s="193"/>
      <c r="BR20" s="193"/>
      <c r="BS20" s="193"/>
      <c r="BT20" s="193"/>
      <c r="BU20" s="193"/>
    </row>
    <row r="21" spans="2:73" ht="51.75" customHeight="1" x14ac:dyDescent="0.25">
      <c r="B21" s="193"/>
      <c r="C21" s="194">
        <v>15</v>
      </c>
      <c r="D21" s="195" t="s">
        <v>1987</v>
      </c>
      <c r="E21" s="195" t="s">
        <v>1811</v>
      </c>
      <c r="F21" s="195" t="s">
        <v>1988</v>
      </c>
      <c r="G21" s="195" t="s">
        <v>1969</v>
      </c>
      <c r="H21" s="195" t="s">
        <v>1987</v>
      </c>
      <c r="I21" s="195" t="s">
        <v>1811</v>
      </c>
      <c r="J21" s="195" t="s">
        <v>1989</v>
      </c>
      <c r="K21" s="195" t="s">
        <v>1990</v>
      </c>
      <c r="L21" s="195" t="s">
        <v>1991</v>
      </c>
      <c r="M21" s="195" t="s">
        <v>1992</v>
      </c>
      <c r="N21" s="196" t="s">
        <v>1993</v>
      </c>
      <c r="O21" s="195" t="s">
        <v>1994</v>
      </c>
      <c r="P21" s="195" t="s">
        <v>1995</v>
      </c>
      <c r="Q21" s="195" t="s">
        <v>1996</v>
      </c>
      <c r="R21" s="197" t="s">
        <v>1997</v>
      </c>
      <c r="S21" s="197" t="s">
        <v>1998</v>
      </c>
      <c r="T21" s="182" t="s">
        <v>1903</v>
      </c>
      <c r="U21" s="182" t="s">
        <v>1999</v>
      </c>
      <c r="V21" s="198" t="s">
        <v>2000</v>
      </c>
      <c r="W21" s="198" t="s">
        <v>2001</v>
      </c>
      <c r="X21" s="198" t="s">
        <v>2002</v>
      </c>
      <c r="Y21" s="199" t="s">
        <v>1977</v>
      </c>
      <c r="Z21" s="199" t="s">
        <v>1978</v>
      </c>
      <c r="AA21" s="199" t="s">
        <v>1979</v>
      </c>
      <c r="AB21" s="199" t="s">
        <v>1800</v>
      </c>
      <c r="AC21" s="200" t="s">
        <v>1746</v>
      </c>
      <c r="AD21" s="200" t="s">
        <v>1718</v>
      </c>
      <c r="AE21" s="200" t="s">
        <v>1644</v>
      </c>
      <c r="AF21" s="200" t="s">
        <v>1981</v>
      </c>
      <c r="AG21" s="200" t="s">
        <v>1749</v>
      </c>
      <c r="AH21" s="200" t="s">
        <v>2003</v>
      </c>
      <c r="AI21" s="200" t="s">
        <v>1648</v>
      </c>
      <c r="AJ21" s="15" t="s">
        <v>2004</v>
      </c>
      <c r="AK21" s="201" t="s">
        <v>1983</v>
      </c>
      <c r="AL21" s="201" t="s">
        <v>1984</v>
      </c>
      <c r="AM21" s="201" t="s">
        <v>1983</v>
      </c>
      <c r="AN21" s="201" t="s">
        <v>1863</v>
      </c>
      <c r="AO21" s="201" t="s">
        <v>1654</v>
      </c>
      <c r="AP21" s="201" t="s">
        <v>1917</v>
      </c>
      <c r="AQ21" s="202" t="s">
        <v>2005</v>
      </c>
      <c r="AR21" s="203" t="s">
        <v>1986</v>
      </c>
      <c r="AS21" s="193"/>
      <c r="AT21" s="193"/>
      <c r="AU21" s="193"/>
      <c r="AV21" s="193"/>
      <c r="AW21" s="193"/>
      <c r="AX21" s="193"/>
      <c r="AY21" s="193"/>
      <c r="AZ21" s="193"/>
      <c r="BA21" s="193"/>
      <c r="BB21" s="193"/>
      <c r="BC21" s="193"/>
      <c r="BD21" s="193"/>
      <c r="BE21" s="193"/>
      <c r="BF21" s="193"/>
      <c r="BG21" s="193"/>
      <c r="BH21" s="193"/>
      <c r="BI21" s="193"/>
      <c r="BJ21" s="193"/>
      <c r="BK21" s="193"/>
      <c r="BL21" s="193"/>
      <c r="BM21" s="193"/>
      <c r="BN21" s="193"/>
      <c r="BO21" s="193"/>
      <c r="BP21" s="193"/>
      <c r="BQ21" s="193"/>
      <c r="BR21" s="193"/>
      <c r="BS21" s="193"/>
      <c r="BT21" s="193"/>
      <c r="BU21" s="193"/>
    </row>
    <row r="22" spans="2:73" ht="45.75" customHeight="1" x14ac:dyDescent="0.25">
      <c r="B22" s="193"/>
      <c r="C22" s="194">
        <v>16</v>
      </c>
      <c r="D22" s="195" t="s">
        <v>2006</v>
      </c>
      <c r="E22" s="195" t="s">
        <v>2007</v>
      </c>
      <c r="F22" s="195" t="s">
        <v>2008</v>
      </c>
      <c r="G22" s="195" t="s">
        <v>2009</v>
      </c>
      <c r="H22" s="195" t="s">
        <v>2006</v>
      </c>
      <c r="I22" s="195" t="s">
        <v>2010</v>
      </c>
      <c r="J22" s="195" t="s">
        <v>2011</v>
      </c>
      <c r="K22" s="195" t="s">
        <v>2012</v>
      </c>
      <c r="L22" s="195" t="s">
        <v>1133</v>
      </c>
      <c r="M22" s="195" t="s">
        <v>2013</v>
      </c>
      <c r="N22" s="196" t="s">
        <v>2014</v>
      </c>
      <c r="O22" s="195" t="s">
        <v>2015</v>
      </c>
      <c r="P22" s="195" t="s">
        <v>2016</v>
      </c>
      <c r="Q22" s="195" t="s">
        <v>2017</v>
      </c>
      <c r="R22" s="197" t="s">
        <v>2018</v>
      </c>
      <c r="S22" s="197" t="s">
        <v>2019</v>
      </c>
      <c r="T22" s="182" t="s">
        <v>2020</v>
      </c>
      <c r="U22" s="182" t="s">
        <v>1772</v>
      </c>
      <c r="V22" s="198" t="s">
        <v>2021</v>
      </c>
      <c r="W22" s="198" t="s">
        <v>2022</v>
      </c>
      <c r="X22" s="198" t="s">
        <v>2023</v>
      </c>
      <c r="Y22" s="199" t="s">
        <v>2024</v>
      </c>
      <c r="Z22" s="199" t="s">
        <v>2025</v>
      </c>
      <c r="AA22" s="199" t="s">
        <v>2026</v>
      </c>
      <c r="AB22" s="199" t="s">
        <v>2027</v>
      </c>
      <c r="AC22" s="200" t="s">
        <v>2028</v>
      </c>
      <c r="AD22" s="200" t="s">
        <v>2029</v>
      </c>
      <c r="AE22" s="200" t="s">
        <v>2030</v>
      </c>
      <c r="AF22" s="200" t="s">
        <v>1699</v>
      </c>
      <c r="AG22" s="200" t="s">
        <v>1700</v>
      </c>
      <c r="AH22" s="200" t="s">
        <v>1778</v>
      </c>
      <c r="AI22" s="200" t="s">
        <v>1648</v>
      </c>
      <c r="AJ22" s="15" t="s">
        <v>2031</v>
      </c>
      <c r="AK22" s="204" t="s">
        <v>1751</v>
      </c>
      <c r="AL22" s="204" t="s">
        <v>1752</v>
      </c>
      <c r="AM22" s="204" t="s">
        <v>1915</v>
      </c>
      <c r="AN22" s="204" t="s">
        <v>1753</v>
      </c>
      <c r="AO22" s="204" t="s">
        <v>1654</v>
      </c>
      <c r="AP22" s="204" t="s">
        <v>1754</v>
      </c>
      <c r="AQ22" s="205" t="s">
        <v>2032</v>
      </c>
      <c r="AR22" s="206" t="s">
        <v>1756</v>
      </c>
      <c r="AS22" s="193"/>
      <c r="AT22" s="193"/>
      <c r="AU22" s="193"/>
      <c r="AV22" s="193"/>
      <c r="AW22" s="193"/>
      <c r="AX22" s="193"/>
      <c r="AY22" s="193"/>
      <c r="AZ22" s="193"/>
      <c r="BA22" s="193"/>
      <c r="BB22" s="193"/>
      <c r="BC22" s="193"/>
      <c r="BD22" s="193"/>
      <c r="BE22" s="193"/>
      <c r="BF22" s="193"/>
      <c r="BG22" s="193"/>
      <c r="BH22" s="193"/>
      <c r="BI22" s="193"/>
      <c r="BJ22" s="193"/>
      <c r="BK22" s="193"/>
      <c r="BL22" s="193"/>
      <c r="BM22" s="193"/>
      <c r="BN22" s="193"/>
      <c r="BO22" s="193"/>
      <c r="BP22" s="193"/>
      <c r="BQ22" s="193"/>
      <c r="BR22" s="193"/>
      <c r="BS22" s="193"/>
      <c r="BT22" s="193"/>
      <c r="BU22" s="193"/>
    </row>
    <row r="23" spans="2:73" ht="39.75" customHeight="1" x14ac:dyDescent="0.25">
      <c r="B23" s="193"/>
      <c r="C23" s="194">
        <v>17</v>
      </c>
      <c r="D23" s="195" t="s">
        <v>2033</v>
      </c>
      <c r="E23" s="195" t="s">
        <v>2034</v>
      </c>
      <c r="F23" s="195" t="s">
        <v>2035</v>
      </c>
      <c r="G23" s="195" t="s">
        <v>2036</v>
      </c>
      <c r="H23" s="195" t="s">
        <v>2037</v>
      </c>
      <c r="I23" s="195" t="s">
        <v>2038</v>
      </c>
      <c r="J23" s="195" t="s">
        <v>2039</v>
      </c>
      <c r="K23" s="195" t="s">
        <v>2040</v>
      </c>
      <c r="L23" s="195" t="s">
        <v>2041</v>
      </c>
      <c r="M23" s="195" t="s">
        <v>2013</v>
      </c>
      <c r="N23" s="196" t="s">
        <v>2042</v>
      </c>
      <c r="O23" s="195" t="s">
        <v>2043</v>
      </c>
      <c r="P23" s="195" t="s">
        <v>2044</v>
      </c>
      <c r="Q23" s="195" t="s">
        <v>2045</v>
      </c>
      <c r="R23" s="197" t="s">
        <v>2046</v>
      </c>
      <c r="S23" s="197" t="s">
        <v>2047</v>
      </c>
      <c r="T23" s="182" t="s">
        <v>1822</v>
      </c>
      <c r="U23" s="182" t="s">
        <v>2020</v>
      </c>
      <c r="V23" s="198" t="s">
        <v>2048</v>
      </c>
      <c r="W23" s="198" t="s">
        <v>2049</v>
      </c>
      <c r="X23" s="198" t="s">
        <v>2050</v>
      </c>
      <c r="Y23" s="199" t="s">
        <v>2024</v>
      </c>
      <c r="Z23" s="199" t="s">
        <v>2025</v>
      </c>
      <c r="AA23" s="199" t="s">
        <v>2026</v>
      </c>
      <c r="AB23" s="199" t="s">
        <v>2027</v>
      </c>
      <c r="AC23" s="200" t="s">
        <v>2028</v>
      </c>
      <c r="AD23" s="200" t="s">
        <v>2029</v>
      </c>
      <c r="AE23" s="200" t="s">
        <v>2030</v>
      </c>
      <c r="AF23" s="200" t="s">
        <v>1748</v>
      </c>
      <c r="AG23" s="200" t="s">
        <v>1678</v>
      </c>
      <c r="AH23" s="200" t="s">
        <v>1677</v>
      </c>
      <c r="AI23" s="200" t="s">
        <v>1648</v>
      </c>
      <c r="AJ23" s="15" t="s">
        <v>2051</v>
      </c>
      <c r="AK23" s="201" t="s">
        <v>1751</v>
      </c>
      <c r="AL23" s="201" t="s">
        <v>1752</v>
      </c>
      <c r="AM23" s="201" t="s">
        <v>1915</v>
      </c>
      <c r="AN23" s="201" t="s">
        <v>1863</v>
      </c>
      <c r="AO23" s="201" t="s">
        <v>1654</v>
      </c>
      <c r="AP23" s="201" t="s">
        <v>1754</v>
      </c>
      <c r="AQ23" s="202" t="s">
        <v>2052</v>
      </c>
      <c r="AR23" s="203" t="s">
        <v>1756</v>
      </c>
      <c r="AS23" s="193"/>
      <c r="AT23" s="193"/>
      <c r="AU23" s="193"/>
      <c r="AV23" s="193"/>
      <c r="AW23" s="193"/>
      <c r="AX23" s="193"/>
      <c r="AY23" s="193"/>
      <c r="AZ23" s="193"/>
      <c r="BA23" s="193"/>
      <c r="BB23" s="193"/>
      <c r="BC23" s="193"/>
      <c r="BD23" s="193"/>
      <c r="BE23" s="193"/>
      <c r="BF23" s="193"/>
      <c r="BG23" s="193"/>
      <c r="BH23" s="193"/>
      <c r="BI23" s="193"/>
      <c r="BJ23" s="193"/>
      <c r="BK23" s="193"/>
      <c r="BL23" s="193"/>
      <c r="BM23" s="193"/>
      <c r="BN23" s="193"/>
      <c r="BO23" s="193"/>
      <c r="BP23" s="193"/>
      <c r="BQ23" s="193"/>
      <c r="BR23" s="193"/>
      <c r="BS23" s="193"/>
      <c r="BT23" s="193"/>
      <c r="BU23" s="193"/>
    </row>
    <row r="24" spans="2:73" ht="39.75" customHeight="1" x14ac:dyDescent="0.25">
      <c r="B24" s="193"/>
      <c r="C24" s="194">
        <v>18</v>
      </c>
      <c r="D24" s="195" t="s">
        <v>2053</v>
      </c>
      <c r="E24" s="195" t="s">
        <v>2054</v>
      </c>
      <c r="F24" s="195" t="s">
        <v>2035</v>
      </c>
      <c r="G24" s="195" t="s">
        <v>2055</v>
      </c>
      <c r="H24" s="195" t="s">
        <v>2056</v>
      </c>
      <c r="I24" s="195" t="s">
        <v>2057</v>
      </c>
      <c r="J24" s="195" t="s">
        <v>2058</v>
      </c>
      <c r="K24" s="195" t="s">
        <v>2059</v>
      </c>
      <c r="L24" s="195" t="s">
        <v>1814</v>
      </c>
      <c r="M24" s="195" t="s">
        <v>2013</v>
      </c>
      <c r="N24" s="196" t="s">
        <v>2060</v>
      </c>
      <c r="O24" s="195" t="s">
        <v>2061</v>
      </c>
      <c r="P24" s="195" t="s">
        <v>2062</v>
      </c>
      <c r="Q24" s="195" t="s">
        <v>2063</v>
      </c>
      <c r="R24" s="197" t="s">
        <v>2064</v>
      </c>
      <c r="S24" s="197" t="s">
        <v>2065</v>
      </c>
      <c r="T24" s="182" t="s">
        <v>1772</v>
      </c>
      <c r="U24" s="182" t="s">
        <v>1822</v>
      </c>
      <c r="V24" s="198" t="s">
        <v>2066</v>
      </c>
      <c r="W24" s="198" t="s">
        <v>2067</v>
      </c>
      <c r="X24" s="198" t="s">
        <v>2068</v>
      </c>
      <c r="Y24" s="199" t="s">
        <v>2024</v>
      </c>
      <c r="Z24" s="199" t="s">
        <v>2025</v>
      </c>
      <c r="AA24" s="199" t="s">
        <v>2026</v>
      </c>
      <c r="AB24" s="199" t="s">
        <v>2027</v>
      </c>
      <c r="AC24" s="200" t="s">
        <v>2028</v>
      </c>
      <c r="AD24" s="200" t="s">
        <v>1718</v>
      </c>
      <c r="AE24" s="200" t="s">
        <v>2030</v>
      </c>
      <c r="AF24" s="200" t="s">
        <v>1699</v>
      </c>
      <c r="AG24" s="200" t="s">
        <v>1700</v>
      </c>
      <c r="AH24" s="200" t="s">
        <v>2069</v>
      </c>
      <c r="AI24" s="200" t="s">
        <v>1648</v>
      </c>
      <c r="AJ24" s="15" t="s">
        <v>2070</v>
      </c>
      <c r="AK24" s="204" t="s">
        <v>1751</v>
      </c>
      <c r="AL24" s="204" t="s">
        <v>1752</v>
      </c>
      <c r="AM24" s="204" t="s">
        <v>1915</v>
      </c>
      <c r="AN24" s="204" t="s">
        <v>1753</v>
      </c>
      <c r="AO24" s="204" t="s">
        <v>1654</v>
      </c>
      <c r="AP24" s="204" t="s">
        <v>1754</v>
      </c>
      <c r="AQ24" s="205" t="s">
        <v>2071</v>
      </c>
      <c r="AR24" s="206" t="s">
        <v>1756</v>
      </c>
      <c r="AS24" s="193"/>
      <c r="AT24" s="193"/>
      <c r="AU24" s="193"/>
      <c r="AV24" s="193"/>
      <c r="AW24" s="193"/>
      <c r="AX24" s="193"/>
      <c r="AY24" s="193"/>
      <c r="AZ24" s="193"/>
      <c r="BA24" s="193"/>
      <c r="BB24" s="193"/>
      <c r="BC24" s="193"/>
      <c r="BD24" s="193"/>
      <c r="BE24" s="193"/>
      <c r="BF24" s="193"/>
      <c r="BG24" s="193"/>
      <c r="BH24" s="193"/>
      <c r="BI24" s="193"/>
      <c r="BJ24" s="193"/>
      <c r="BK24" s="193"/>
      <c r="BL24" s="193"/>
      <c r="BM24" s="193"/>
      <c r="BN24" s="193"/>
      <c r="BO24" s="193"/>
      <c r="BP24" s="193"/>
      <c r="BQ24" s="193"/>
      <c r="BR24" s="193"/>
      <c r="BS24" s="193"/>
      <c r="BT24" s="193"/>
      <c r="BU24" s="193"/>
    </row>
    <row r="25" spans="2:73" ht="39.75" customHeight="1" x14ac:dyDescent="0.25">
      <c r="B25" s="193"/>
      <c r="C25" s="194">
        <v>19</v>
      </c>
      <c r="D25" s="195" t="s">
        <v>2072</v>
      </c>
      <c r="E25" s="195" t="s">
        <v>2073</v>
      </c>
      <c r="F25" s="195" t="s">
        <v>2074</v>
      </c>
      <c r="G25" s="195" t="s">
        <v>2075</v>
      </c>
      <c r="H25" s="195" t="s">
        <v>2072</v>
      </c>
      <c r="I25" s="195" t="s">
        <v>2076</v>
      </c>
      <c r="J25" s="195" t="s">
        <v>2077</v>
      </c>
      <c r="K25" s="195" t="s">
        <v>2078</v>
      </c>
      <c r="L25" s="195" t="s">
        <v>2079</v>
      </c>
      <c r="M25" s="195" t="s">
        <v>2080</v>
      </c>
      <c r="N25" s="196" t="s">
        <v>2081</v>
      </c>
      <c r="O25" s="195" t="s">
        <v>2082</v>
      </c>
      <c r="P25" s="195" t="s">
        <v>1629</v>
      </c>
      <c r="Q25" s="195" t="s">
        <v>2083</v>
      </c>
      <c r="R25" s="197" t="s">
        <v>2084</v>
      </c>
      <c r="S25" s="197" t="s">
        <v>2085</v>
      </c>
      <c r="T25" s="182" t="s">
        <v>2086</v>
      </c>
      <c r="U25" s="182" t="s">
        <v>1695</v>
      </c>
      <c r="V25" s="198" t="s">
        <v>2087</v>
      </c>
      <c r="W25" s="198" t="s">
        <v>2088</v>
      </c>
      <c r="X25" s="198" t="s">
        <v>2089</v>
      </c>
      <c r="Y25" s="199" t="s">
        <v>1638</v>
      </c>
      <c r="Z25" s="199" t="s">
        <v>1639</v>
      </c>
      <c r="AA25" s="199" t="s">
        <v>1640</v>
      </c>
      <c r="AB25" s="199" t="s">
        <v>1641</v>
      </c>
      <c r="AC25" s="200" t="s">
        <v>1746</v>
      </c>
      <c r="AD25" s="200" t="s">
        <v>2090</v>
      </c>
      <c r="AE25" s="200" t="s">
        <v>1644</v>
      </c>
      <c r="AF25" s="200" t="s">
        <v>1645</v>
      </c>
      <c r="AG25" s="200" t="s">
        <v>1678</v>
      </c>
      <c r="AH25" s="200" t="s">
        <v>1677</v>
      </c>
      <c r="AI25" s="200" t="s">
        <v>1648</v>
      </c>
      <c r="AJ25" s="15" t="s">
        <v>2091</v>
      </c>
      <c r="AK25" s="201" t="s">
        <v>2092</v>
      </c>
      <c r="AL25" s="201" t="s">
        <v>2093</v>
      </c>
      <c r="AM25" s="201" t="s">
        <v>1652</v>
      </c>
      <c r="AN25" s="201" t="s">
        <v>1653</v>
      </c>
      <c r="AO25" s="201" t="s">
        <v>1654</v>
      </c>
      <c r="AP25" s="201" t="s">
        <v>1655</v>
      </c>
      <c r="AQ25" s="202" t="s">
        <v>2094</v>
      </c>
      <c r="AR25" s="203" t="s">
        <v>2095</v>
      </c>
      <c r="AS25" s="193"/>
      <c r="AT25" s="193"/>
      <c r="AU25" s="193"/>
      <c r="AV25" s="193"/>
      <c r="AW25" s="193"/>
      <c r="AX25" s="193"/>
      <c r="AY25" s="193"/>
      <c r="AZ25" s="193"/>
      <c r="BA25" s="193"/>
      <c r="BB25" s="193"/>
      <c r="BC25" s="193"/>
      <c r="BD25" s="193"/>
      <c r="BE25" s="193"/>
      <c r="BF25" s="193"/>
      <c r="BG25" s="193"/>
      <c r="BH25" s="193"/>
      <c r="BI25" s="193"/>
      <c r="BJ25" s="193"/>
      <c r="BK25" s="193"/>
      <c r="BL25" s="193"/>
      <c r="BM25" s="193"/>
      <c r="BN25" s="193"/>
      <c r="BO25" s="193"/>
      <c r="BP25" s="193"/>
      <c r="BQ25" s="193"/>
      <c r="BR25" s="193"/>
      <c r="BS25" s="193"/>
      <c r="BT25" s="193"/>
      <c r="BU25" s="193"/>
    </row>
    <row r="26" spans="2:73" ht="39.75" customHeight="1" x14ac:dyDescent="0.25">
      <c r="B26" s="193"/>
      <c r="C26" s="194">
        <v>20</v>
      </c>
      <c r="D26" s="195" t="s">
        <v>2096</v>
      </c>
      <c r="E26" s="195" t="s">
        <v>2097</v>
      </c>
      <c r="F26" s="195" t="s">
        <v>2098</v>
      </c>
      <c r="G26" s="195" t="s">
        <v>2099</v>
      </c>
      <c r="H26" s="195" t="s">
        <v>2096</v>
      </c>
      <c r="I26" s="195" t="s">
        <v>2100</v>
      </c>
      <c r="J26" s="195" t="s">
        <v>2101</v>
      </c>
      <c r="K26" s="195" t="s">
        <v>2102</v>
      </c>
      <c r="L26" s="195" t="s">
        <v>2103</v>
      </c>
      <c r="M26" s="195" t="s">
        <v>2104</v>
      </c>
      <c r="N26" s="196" t="s">
        <v>2105</v>
      </c>
      <c r="O26" s="195" t="s">
        <v>2106</v>
      </c>
      <c r="P26" s="195" t="s">
        <v>1629</v>
      </c>
      <c r="Q26" s="195" t="s">
        <v>2107</v>
      </c>
      <c r="R26" s="197" t="s">
        <v>2108</v>
      </c>
      <c r="S26" s="197" t="s">
        <v>2109</v>
      </c>
      <c r="T26" s="182" t="s">
        <v>1634</v>
      </c>
      <c r="U26" s="182" t="s">
        <v>1999</v>
      </c>
      <c r="V26" s="198" t="s">
        <v>2110</v>
      </c>
      <c r="W26" s="198" t="s">
        <v>2111</v>
      </c>
      <c r="X26" s="198" t="s">
        <v>2112</v>
      </c>
      <c r="Y26" s="199" t="s">
        <v>1638</v>
      </c>
      <c r="Z26" s="199" t="s">
        <v>1639</v>
      </c>
      <c r="AA26" s="199" t="s">
        <v>1909</v>
      </c>
      <c r="AB26" s="199" t="s">
        <v>1800</v>
      </c>
      <c r="AC26" s="200" t="s">
        <v>1746</v>
      </c>
      <c r="AD26" s="200" t="s">
        <v>1643</v>
      </c>
      <c r="AE26" s="200" t="s">
        <v>1644</v>
      </c>
      <c r="AF26" s="200" t="s">
        <v>1645</v>
      </c>
      <c r="AG26" s="200" t="s">
        <v>1646</v>
      </c>
      <c r="AH26" s="200" t="s">
        <v>1677</v>
      </c>
      <c r="AI26" s="200" t="s">
        <v>1648</v>
      </c>
      <c r="AJ26" s="15" t="s">
        <v>2113</v>
      </c>
      <c r="AK26" s="204" t="s">
        <v>2114</v>
      </c>
      <c r="AL26" s="204" t="s">
        <v>2115</v>
      </c>
      <c r="AM26" s="204" t="s">
        <v>1652</v>
      </c>
      <c r="AN26" s="204" t="s">
        <v>1653</v>
      </c>
      <c r="AO26" s="204" t="s">
        <v>1654</v>
      </c>
      <c r="AP26" s="204" t="s">
        <v>1655</v>
      </c>
      <c r="AQ26" s="205" t="s">
        <v>2116</v>
      </c>
      <c r="AR26" s="206" t="s">
        <v>2117</v>
      </c>
      <c r="AS26" s="193"/>
      <c r="AT26" s="193"/>
      <c r="AU26" s="193"/>
      <c r="AV26" s="193"/>
      <c r="AW26" s="193"/>
      <c r="AX26" s="193"/>
      <c r="AY26" s="193"/>
      <c r="AZ26" s="193"/>
      <c r="BA26" s="193"/>
      <c r="BB26" s="193"/>
      <c r="BC26" s="193"/>
      <c r="BD26" s="193"/>
      <c r="BE26" s="193"/>
      <c r="BF26" s="193"/>
      <c r="BG26" s="193"/>
      <c r="BH26" s="193"/>
      <c r="BI26" s="193"/>
      <c r="BJ26" s="193"/>
      <c r="BK26" s="193"/>
      <c r="BL26" s="193"/>
      <c r="BM26" s="193"/>
      <c r="BN26" s="193"/>
      <c r="BO26" s="193"/>
      <c r="BP26" s="193"/>
      <c r="BQ26" s="193"/>
      <c r="BR26" s="193"/>
      <c r="BS26" s="193"/>
      <c r="BT26" s="193"/>
      <c r="BU26" s="193"/>
    </row>
    <row r="27" spans="2:73" ht="39.75" customHeight="1" x14ac:dyDescent="0.25">
      <c r="B27" s="193"/>
      <c r="C27" s="194">
        <v>21</v>
      </c>
      <c r="D27" s="195" t="s">
        <v>2118</v>
      </c>
      <c r="E27" s="195" t="s">
        <v>2119</v>
      </c>
      <c r="F27" s="195" t="s">
        <v>2120</v>
      </c>
      <c r="G27" s="195" t="s">
        <v>2121</v>
      </c>
      <c r="H27" s="195" t="s">
        <v>2118</v>
      </c>
      <c r="I27" s="195" t="s">
        <v>2122</v>
      </c>
      <c r="J27" s="195" t="s">
        <v>2123</v>
      </c>
      <c r="K27" s="195" t="s">
        <v>2124</v>
      </c>
      <c r="L27" s="195" t="s">
        <v>2125</v>
      </c>
      <c r="M27" s="195" t="s">
        <v>2126</v>
      </c>
      <c r="N27" s="196" t="s">
        <v>2127</v>
      </c>
      <c r="O27" s="195" t="s">
        <v>2128</v>
      </c>
      <c r="P27" s="195" t="s">
        <v>2129</v>
      </c>
      <c r="Q27" s="195" t="s">
        <v>2130</v>
      </c>
      <c r="R27" s="197" t="s">
        <v>2131</v>
      </c>
      <c r="S27" s="197" t="s">
        <v>2132</v>
      </c>
      <c r="T27" s="182" t="s">
        <v>1903</v>
      </c>
      <c r="U27" s="182" t="s">
        <v>1822</v>
      </c>
      <c r="V27" s="198" t="s">
        <v>2133</v>
      </c>
      <c r="W27" s="198" t="s">
        <v>2134</v>
      </c>
      <c r="X27" s="198" t="s">
        <v>2135</v>
      </c>
      <c r="Y27" s="199" t="s">
        <v>2136</v>
      </c>
      <c r="Z27" s="199" t="s">
        <v>2137</v>
      </c>
      <c r="AA27" s="199" t="s">
        <v>2138</v>
      </c>
      <c r="AB27" s="199" t="s">
        <v>2139</v>
      </c>
      <c r="AC27" s="200" t="s">
        <v>2140</v>
      </c>
      <c r="AD27" s="200" t="s">
        <v>1718</v>
      </c>
      <c r="AE27" s="200" t="s">
        <v>2141</v>
      </c>
      <c r="AF27" s="200" t="s">
        <v>1748</v>
      </c>
      <c r="AG27" s="200" t="s">
        <v>1678</v>
      </c>
      <c r="AH27" s="200" t="s">
        <v>1677</v>
      </c>
      <c r="AI27" s="200" t="s">
        <v>1648</v>
      </c>
      <c r="AJ27" s="15" t="s">
        <v>2142</v>
      </c>
      <c r="AK27" s="201" t="s">
        <v>2143</v>
      </c>
      <c r="AL27" s="201" t="s">
        <v>1984</v>
      </c>
      <c r="AM27" s="201" t="s">
        <v>2143</v>
      </c>
      <c r="AN27" s="201" t="s">
        <v>1863</v>
      </c>
      <c r="AO27" s="201" t="s">
        <v>2144</v>
      </c>
      <c r="AP27" s="201" t="s">
        <v>1917</v>
      </c>
      <c r="AQ27" s="202" t="s">
        <v>2145</v>
      </c>
      <c r="AR27" s="203" t="s">
        <v>1986</v>
      </c>
      <c r="AS27" s="193"/>
      <c r="AT27" s="193"/>
      <c r="AU27" s="193"/>
      <c r="AV27" s="193"/>
      <c r="AW27" s="193"/>
      <c r="AX27" s="193"/>
      <c r="AY27" s="193"/>
      <c r="AZ27" s="193"/>
      <c r="BA27" s="193"/>
      <c r="BB27" s="193"/>
      <c r="BC27" s="193"/>
      <c r="BD27" s="193"/>
      <c r="BE27" s="193"/>
      <c r="BF27" s="193"/>
      <c r="BG27" s="193"/>
      <c r="BH27" s="193"/>
      <c r="BI27" s="193"/>
      <c r="BJ27" s="193"/>
      <c r="BK27" s="193"/>
      <c r="BL27" s="193"/>
      <c r="BM27" s="193"/>
      <c r="BN27" s="193"/>
      <c r="BO27" s="193"/>
      <c r="BP27" s="193"/>
      <c r="BQ27" s="193"/>
      <c r="BR27" s="193"/>
      <c r="BS27" s="193"/>
      <c r="BT27" s="193"/>
      <c r="BU27" s="193"/>
    </row>
    <row r="28" spans="2:73" ht="39.75" customHeight="1" x14ac:dyDescent="0.25">
      <c r="B28" s="193"/>
      <c r="C28" s="194">
        <v>22</v>
      </c>
      <c r="D28" s="195" t="s">
        <v>2146</v>
      </c>
      <c r="E28" s="195" t="s">
        <v>2147</v>
      </c>
      <c r="F28" s="195" t="s">
        <v>2148</v>
      </c>
      <c r="G28" s="195" t="s">
        <v>2149</v>
      </c>
      <c r="H28" s="195" t="s">
        <v>2146</v>
      </c>
      <c r="I28" s="195" t="s">
        <v>2147</v>
      </c>
      <c r="J28" s="195" t="s">
        <v>2150</v>
      </c>
      <c r="K28" s="195" t="s">
        <v>2151</v>
      </c>
      <c r="L28" s="195" t="s">
        <v>2149</v>
      </c>
      <c r="M28" s="195" t="s">
        <v>1967</v>
      </c>
      <c r="N28" s="196" t="s">
        <v>2152</v>
      </c>
      <c r="O28" s="195" t="s">
        <v>2153</v>
      </c>
      <c r="P28" s="195" t="s">
        <v>2154</v>
      </c>
      <c r="Q28" s="195" t="s">
        <v>2155</v>
      </c>
      <c r="R28" s="197" t="s">
        <v>2156</v>
      </c>
      <c r="S28" s="197" t="s">
        <v>2157</v>
      </c>
      <c r="T28" s="182" t="s">
        <v>1903</v>
      </c>
      <c r="U28" s="182" t="s">
        <v>1931</v>
      </c>
      <c r="V28" s="198" t="s">
        <v>2158</v>
      </c>
      <c r="W28" s="198" t="s">
        <v>2159</v>
      </c>
      <c r="X28" s="198" t="s">
        <v>2160</v>
      </c>
      <c r="Y28" s="199" t="s">
        <v>2136</v>
      </c>
      <c r="Z28" s="199" t="s">
        <v>2137</v>
      </c>
      <c r="AA28" s="199" t="s">
        <v>2138</v>
      </c>
      <c r="AB28" s="199" t="s">
        <v>2139</v>
      </c>
      <c r="AC28" s="200" t="s">
        <v>2140</v>
      </c>
      <c r="AD28" s="200" t="s">
        <v>1718</v>
      </c>
      <c r="AE28" s="200" t="s">
        <v>2141</v>
      </c>
      <c r="AF28" s="200" t="s">
        <v>1645</v>
      </c>
      <c r="AG28" s="200" t="s">
        <v>1700</v>
      </c>
      <c r="AH28" s="200" t="s">
        <v>2161</v>
      </c>
      <c r="AI28" s="200" t="s">
        <v>1648</v>
      </c>
      <c r="AJ28" s="15" t="s">
        <v>2162</v>
      </c>
      <c r="AK28" s="204" t="s">
        <v>2163</v>
      </c>
      <c r="AL28" s="204" t="s">
        <v>1984</v>
      </c>
      <c r="AM28" s="204" t="s">
        <v>2163</v>
      </c>
      <c r="AN28" s="204" t="s">
        <v>1863</v>
      </c>
      <c r="AO28" s="204" t="s">
        <v>2144</v>
      </c>
      <c r="AP28" s="204" t="s">
        <v>1917</v>
      </c>
      <c r="AQ28" s="205" t="s">
        <v>2164</v>
      </c>
      <c r="AR28" s="206" t="s">
        <v>1986</v>
      </c>
      <c r="AS28" s="193"/>
      <c r="AT28" s="193"/>
      <c r="AU28" s="193"/>
      <c r="AV28" s="193"/>
      <c r="AW28" s="193"/>
      <c r="AX28" s="193"/>
      <c r="AY28" s="193"/>
      <c r="AZ28" s="193"/>
      <c r="BA28" s="193"/>
      <c r="BB28" s="193"/>
      <c r="BC28" s="193"/>
      <c r="BD28" s="193"/>
      <c r="BE28" s="193"/>
      <c r="BF28" s="193"/>
      <c r="BG28" s="193"/>
      <c r="BH28" s="193"/>
      <c r="BI28" s="193"/>
      <c r="BJ28" s="193"/>
      <c r="BK28" s="193"/>
      <c r="BL28" s="193"/>
      <c r="BM28" s="193"/>
      <c r="BN28" s="193"/>
      <c r="BO28" s="193"/>
      <c r="BP28" s="193"/>
      <c r="BQ28" s="193"/>
      <c r="BR28" s="193"/>
      <c r="BS28" s="193"/>
      <c r="BT28" s="193"/>
      <c r="BU28" s="193"/>
    </row>
    <row r="29" spans="2:73" ht="39.75" customHeight="1" x14ac:dyDescent="0.25">
      <c r="B29" s="193"/>
      <c r="C29" s="194">
        <v>23</v>
      </c>
      <c r="D29" s="195" t="s">
        <v>2165</v>
      </c>
      <c r="E29" s="195" t="s">
        <v>2166</v>
      </c>
      <c r="F29" s="195" t="s">
        <v>2167</v>
      </c>
      <c r="G29" s="195" t="s">
        <v>2168</v>
      </c>
      <c r="H29" s="195" t="s">
        <v>2165</v>
      </c>
      <c r="I29" s="195" t="s">
        <v>2166</v>
      </c>
      <c r="J29" s="195" t="s">
        <v>2169</v>
      </c>
      <c r="K29" s="195" t="s">
        <v>2170</v>
      </c>
      <c r="L29" s="195" t="s">
        <v>2103</v>
      </c>
      <c r="M29" s="195" t="s">
        <v>2171</v>
      </c>
      <c r="N29" s="196" t="s">
        <v>2172</v>
      </c>
      <c r="O29" s="195" t="s">
        <v>2173</v>
      </c>
      <c r="P29" s="195" t="s">
        <v>2174</v>
      </c>
      <c r="Q29" s="195" t="s">
        <v>2175</v>
      </c>
      <c r="R29" s="197" t="s">
        <v>2176</v>
      </c>
      <c r="S29" s="197" t="s">
        <v>2177</v>
      </c>
      <c r="T29" s="182" t="s">
        <v>1999</v>
      </c>
      <c r="U29" s="182" t="s">
        <v>1633</v>
      </c>
      <c r="V29" s="198" t="s">
        <v>2178</v>
      </c>
      <c r="W29" s="198" t="s">
        <v>2179</v>
      </c>
      <c r="X29" s="198" t="s">
        <v>2180</v>
      </c>
      <c r="Y29" s="199" t="s">
        <v>2181</v>
      </c>
      <c r="Z29" s="199" t="s">
        <v>2182</v>
      </c>
      <c r="AA29" s="199" t="s">
        <v>1909</v>
      </c>
      <c r="AB29" s="199" t="s">
        <v>1800</v>
      </c>
      <c r="AC29" s="200" t="s">
        <v>2183</v>
      </c>
      <c r="AD29" s="200" t="s">
        <v>2183</v>
      </c>
      <c r="AE29" s="200" t="s">
        <v>2183</v>
      </c>
      <c r="AF29" s="200" t="s">
        <v>1653</v>
      </c>
      <c r="AG29" s="200" t="s">
        <v>1678</v>
      </c>
      <c r="AH29" s="200" t="s">
        <v>1749</v>
      </c>
      <c r="AI29" s="200" t="s">
        <v>1648</v>
      </c>
      <c r="AJ29" s="15" t="s">
        <v>2184</v>
      </c>
      <c r="AK29" s="201" t="s">
        <v>2185</v>
      </c>
      <c r="AL29" s="201" t="s">
        <v>2186</v>
      </c>
      <c r="AM29" s="201" t="s">
        <v>2187</v>
      </c>
      <c r="AN29" s="201" t="s">
        <v>1653</v>
      </c>
      <c r="AO29" s="201" t="s">
        <v>1654</v>
      </c>
      <c r="AP29" s="201" t="s">
        <v>1655</v>
      </c>
      <c r="AQ29" s="202" t="s">
        <v>2188</v>
      </c>
      <c r="AR29" s="203" t="s">
        <v>2189</v>
      </c>
      <c r="AS29" s="193"/>
      <c r="AT29" s="193"/>
      <c r="AU29" s="193"/>
      <c r="AV29" s="193"/>
      <c r="AW29" s="193"/>
      <c r="AX29" s="193"/>
      <c r="AY29" s="193"/>
      <c r="AZ29" s="193"/>
      <c r="BA29" s="193"/>
      <c r="BB29" s="193"/>
      <c r="BC29" s="193"/>
      <c r="BD29" s="193"/>
      <c r="BE29" s="193"/>
      <c r="BF29" s="193"/>
      <c r="BG29" s="193"/>
      <c r="BH29" s="193"/>
      <c r="BI29" s="193"/>
      <c r="BJ29" s="193"/>
      <c r="BK29" s="193"/>
      <c r="BL29" s="193"/>
      <c r="BM29" s="193"/>
      <c r="BN29" s="193"/>
      <c r="BO29" s="193"/>
      <c r="BP29" s="193"/>
      <c r="BQ29" s="193"/>
      <c r="BR29" s="193"/>
      <c r="BS29" s="193"/>
      <c r="BT29" s="193"/>
      <c r="BU29" s="193"/>
    </row>
    <row r="30" spans="2:73" ht="39.75" customHeight="1" x14ac:dyDescent="0.25">
      <c r="B30" s="193"/>
      <c r="C30" s="194">
        <v>24</v>
      </c>
      <c r="D30" s="195" t="s">
        <v>2190</v>
      </c>
      <c r="E30" s="195" t="s">
        <v>2191</v>
      </c>
      <c r="F30" s="195" t="s">
        <v>2192</v>
      </c>
      <c r="G30" s="195" t="s">
        <v>2193</v>
      </c>
      <c r="H30" s="195" t="s">
        <v>2190</v>
      </c>
      <c r="I30" s="195" t="s">
        <v>2191</v>
      </c>
      <c r="J30" s="195" t="s">
        <v>2194</v>
      </c>
      <c r="K30" s="195" t="s">
        <v>2195</v>
      </c>
      <c r="L30" s="195" t="s">
        <v>2196</v>
      </c>
      <c r="M30" s="195" t="s">
        <v>1815</v>
      </c>
      <c r="N30" s="196" t="s">
        <v>2197</v>
      </c>
      <c r="O30" s="195" t="s">
        <v>2198</v>
      </c>
      <c r="P30" s="195" t="s">
        <v>2199</v>
      </c>
      <c r="Q30" s="195" t="s">
        <v>2200</v>
      </c>
      <c r="R30" s="197" t="s">
        <v>2201</v>
      </c>
      <c r="S30" s="197" t="s">
        <v>2202</v>
      </c>
      <c r="T30" s="182" t="s">
        <v>1999</v>
      </c>
      <c r="U30" s="182" t="s">
        <v>2203</v>
      </c>
      <c r="V30" s="198" t="s">
        <v>2204</v>
      </c>
      <c r="W30" s="198" t="s">
        <v>2205</v>
      </c>
      <c r="X30" s="198" t="s">
        <v>2206</v>
      </c>
      <c r="Y30" s="199" t="s">
        <v>2181</v>
      </c>
      <c r="Z30" s="199" t="s">
        <v>1908</v>
      </c>
      <c r="AA30" s="199" t="s">
        <v>2207</v>
      </c>
      <c r="AB30" s="199" t="s">
        <v>1800</v>
      </c>
      <c r="AC30" s="200" t="s">
        <v>1642</v>
      </c>
      <c r="AD30" s="200" t="s">
        <v>2183</v>
      </c>
      <c r="AE30" s="200" t="s">
        <v>1644</v>
      </c>
      <c r="AF30" s="200" t="s">
        <v>1748</v>
      </c>
      <c r="AG30" s="200" t="s">
        <v>1777</v>
      </c>
      <c r="AH30" s="200" t="s">
        <v>1749</v>
      </c>
      <c r="AI30" s="200" t="s">
        <v>1648</v>
      </c>
      <c r="AJ30" s="15" t="s">
        <v>2208</v>
      </c>
      <c r="AK30" s="204" t="s">
        <v>2185</v>
      </c>
      <c r="AL30" s="204" t="s">
        <v>2186</v>
      </c>
      <c r="AM30" s="204" t="s">
        <v>2209</v>
      </c>
      <c r="AN30" s="204" t="s">
        <v>1653</v>
      </c>
      <c r="AO30" s="204" t="s">
        <v>1654</v>
      </c>
      <c r="AP30" s="204" t="s">
        <v>1655</v>
      </c>
      <c r="AQ30" s="205" t="s">
        <v>2210</v>
      </c>
      <c r="AR30" s="206" t="s">
        <v>2189</v>
      </c>
      <c r="AS30" s="193"/>
      <c r="AT30" s="193"/>
      <c r="AU30" s="193"/>
      <c r="AV30" s="193"/>
      <c r="AW30" s="193"/>
      <c r="AX30" s="193"/>
      <c r="AY30" s="193"/>
      <c r="AZ30" s="193"/>
      <c r="BA30" s="193"/>
      <c r="BB30" s="193"/>
      <c r="BC30" s="193"/>
      <c r="BD30" s="193"/>
      <c r="BE30" s="193"/>
      <c r="BF30" s="193"/>
      <c r="BG30" s="193"/>
      <c r="BH30" s="193"/>
      <c r="BI30" s="193"/>
      <c r="BJ30" s="193"/>
      <c r="BK30" s="193"/>
      <c r="BL30" s="193"/>
      <c r="BM30" s="193"/>
      <c r="BN30" s="193"/>
      <c r="BO30" s="193"/>
      <c r="BP30" s="193"/>
      <c r="BQ30" s="193"/>
      <c r="BR30" s="193"/>
      <c r="BS30" s="193"/>
      <c r="BT30" s="193"/>
      <c r="BU30" s="193"/>
    </row>
    <row r="31" spans="2:73" ht="39.75" customHeight="1" x14ac:dyDescent="0.25">
      <c r="B31" s="193"/>
      <c r="C31" s="194">
        <v>25</v>
      </c>
      <c r="D31" s="195" t="s">
        <v>485</v>
      </c>
      <c r="E31" s="195" t="s">
        <v>2211</v>
      </c>
      <c r="F31" s="195" t="s">
        <v>2212</v>
      </c>
      <c r="G31" s="195" t="s">
        <v>2213</v>
      </c>
      <c r="H31" s="195" t="s">
        <v>485</v>
      </c>
      <c r="I31" s="195" t="s">
        <v>2214</v>
      </c>
      <c r="J31" s="195" t="s">
        <v>2215</v>
      </c>
      <c r="K31" s="195" t="s">
        <v>2216</v>
      </c>
      <c r="L31" s="195" t="s">
        <v>2217</v>
      </c>
      <c r="M31" s="182" t="s">
        <v>2218</v>
      </c>
      <c r="N31" s="182" t="s">
        <v>2219</v>
      </c>
      <c r="O31" s="182" t="s">
        <v>2220</v>
      </c>
      <c r="P31" s="182" t="s">
        <v>1629</v>
      </c>
      <c r="Q31" s="182" t="s">
        <v>2221</v>
      </c>
      <c r="R31" s="197" t="s">
        <v>2222</v>
      </c>
      <c r="S31" s="197" t="s">
        <v>2223</v>
      </c>
      <c r="T31" s="182" t="s">
        <v>2224</v>
      </c>
      <c r="U31" s="182" t="s">
        <v>1822</v>
      </c>
      <c r="V31" s="198" t="s">
        <v>2225</v>
      </c>
      <c r="W31" s="198" t="s">
        <v>2226</v>
      </c>
      <c r="X31" s="198" t="s">
        <v>2227</v>
      </c>
      <c r="Y31" s="199" t="s">
        <v>1907</v>
      </c>
      <c r="Z31" s="199" t="s">
        <v>1908</v>
      </c>
      <c r="AA31" s="199" t="s">
        <v>1909</v>
      </c>
      <c r="AB31" s="199" t="s">
        <v>1800</v>
      </c>
      <c r="AC31" s="200" t="s">
        <v>1746</v>
      </c>
      <c r="AD31" s="200" t="s">
        <v>1718</v>
      </c>
      <c r="AE31" s="200" t="s">
        <v>1644</v>
      </c>
      <c r="AF31" s="200" t="s">
        <v>1719</v>
      </c>
      <c r="AG31" s="200" t="s">
        <v>1981</v>
      </c>
      <c r="AH31" s="200" t="s">
        <v>2228</v>
      </c>
      <c r="AI31" s="200" t="s">
        <v>1648</v>
      </c>
      <c r="AJ31" s="15" t="s">
        <v>2229</v>
      </c>
      <c r="AK31" s="201" t="s">
        <v>1913</v>
      </c>
      <c r="AL31" s="201" t="s">
        <v>1914</v>
      </c>
      <c r="AM31" s="201" t="s">
        <v>1652</v>
      </c>
      <c r="AN31" s="201" t="s">
        <v>1863</v>
      </c>
      <c r="AO31" s="201" t="s">
        <v>2230</v>
      </c>
      <c r="AP31" s="201" t="s">
        <v>1917</v>
      </c>
      <c r="AQ31" s="202" t="s">
        <v>2231</v>
      </c>
      <c r="AR31" s="203" t="s">
        <v>1919</v>
      </c>
      <c r="AS31" s="193"/>
      <c r="AT31" s="193"/>
      <c r="AU31" s="193"/>
      <c r="AV31" s="193"/>
      <c r="AW31" s="193"/>
      <c r="AX31" s="193"/>
      <c r="AY31" s="193"/>
      <c r="AZ31" s="193"/>
      <c r="BA31" s="193"/>
      <c r="BB31" s="193"/>
      <c r="BC31" s="193"/>
      <c r="BD31" s="193"/>
      <c r="BE31" s="193"/>
      <c r="BF31" s="193"/>
      <c r="BG31" s="193"/>
      <c r="BH31" s="193"/>
      <c r="BI31" s="193"/>
      <c r="BJ31" s="193"/>
      <c r="BK31" s="193"/>
      <c r="BL31" s="193"/>
      <c r="BM31" s="193"/>
      <c r="BN31" s="193"/>
      <c r="BO31" s="193"/>
      <c r="BP31" s="193"/>
      <c r="BQ31" s="193"/>
      <c r="BR31" s="193"/>
      <c r="BS31" s="193"/>
      <c r="BT31" s="193"/>
      <c r="BU31" s="193"/>
    </row>
    <row r="32" spans="2:73" ht="39.75" customHeight="1" x14ac:dyDescent="0.25">
      <c r="B32" s="193"/>
      <c r="C32" s="194">
        <v>26</v>
      </c>
      <c r="D32" s="195" t="s">
        <v>2232</v>
      </c>
      <c r="E32" s="195" t="s">
        <v>2233</v>
      </c>
      <c r="F32" s="195" t="s">
        <v>2234</v>
      </c>
      <c r="G32" s="195" t="s">
        <v>2235</v>
      </c>
      <c r="H32" s="195" t="s">
        <v>2232</v>
      </c>
      <c r="I32" s="195" t="s">
        <v>2236</v>
      </c>
      <c r="J32" s="195" t="s">
        <v>2237</v>
      </c>
      <c r="K32" s="195" t="s">
        <v>2238</v>
      </c>
      <c r="L32" s="195" t="s">
        <v>2239</v>
      </c>
      <c r="M32" s="199"/>
      <c r="N32" s="199"/>
      <c r="O32" s="199"/>
      <c r="P32" s="199" t="s">
        <v>1629</v>
      </c>
      <c r="Q32" s="199" t="s">
        <v>2240</v>
      </c>
      <c r="R32" s="197" t="s">
        <v>2241</v>
      </c>
      <c r="S32" s="197" t="s">
        <v>2242</v>
      </c>
      <c r="T32" s="182" t="s">
        <v>1737</v>
      </c>
      <c r="U32" s="182" t="s">
        <v>1714</v>
      </c>
      <c r="V32" s="198" t="s">
        <v>2243</v>
      </c>
      <c r="W32" s="198" t="s">
        <v>2237</v>
      </c>
      <c r="X32" s="198" t="s">
        <v>2244</v>
      </c>
      <c r="Y32" s="199" t="s">
        <v>1638</v>
      </c>
      <c r="Z32" s="199" t="s">
        <v>1639</v>
      </c>
      <c r="AA32" s="199" t="s">
        <v>1640</v>
      </c>
      <c r="AB32" s="199" t="s">
        <v>1641</v>
      </c>
      <c r="AC32" s="200" t="s">
        <v>1856</v>
      </c>
      <c r="AD32" s="200" t="s">
        <v>2245</v>
      </c>
      <c r="AE32" s="200" t="s">
        <v>1644</v>
      </c>
      <c r="AF32" s="200" t="s">
        <v>1653</v>
      </c>
      <c r="AG32" s="200" t="s">
        <v>1646</v>
      </c>
      <c r="AH32" s="200" t="s">
        <v>1778</v>
      </c>
      <c r="AI32" s="200" t="s">
        <v>1648</v>
      </c>
      <c r="AJ32" s="15" t="s">
        <v>2246</v>
      </c>
      <c r="AK32" s="204" t="s">
        <v>1802</v>
      </c>
      <c r="AL32" s="204" t="s">
        <v>1803</v>
      </c>
      <c r="AM32" s="204" t="s">
        <v>1652</v>
      </c>
      <c r="AN32" s="204" t="s">
        <v>1863</v>
      </c>
      <c r="AO32" s="204" t="s">
        <v>1654</v>
      </c>
      <c r="AP32" s="204" t="s">
        <v>1754</v>
      </c>
      <c r="AQ32" s="205" t="s">
        <v>2247</v>
      </c>
      <c r="AR32" s="206" t="s">
        <v>1805</v>
      </c>
      <c r="AS32" s="193"/>
      <c r="AT32" s="193"/>
      <c r="AU32" s="193"/>
      <c r="AV32" s="193"/>
      <c r="AW32" s="193"/>
      <c r="AX32" s="193"/>
      <c r="AY32" s="193"/>
      <c r="AZ32" s="193"/>
      <c r="BA32" s="193"/>
      <c r="BB32" s="193"/>
      <c r="BC32" s="193"/>
      <c r="BD32" s="193"/>
      <c r="BE32" s="193"/>
      <c r="BF32" s="193"/>
      <c r="BG32" s="193"/>
      <c r="BH32" s="193"/>
      <c r="BI32" s="193"/>
      <c r="BJ32" s="193"/>
      <c r="BK32" s="193"/>
      <c r="BL32" s="193"/>
      <c r="BM32" s="193"/>
      <c r="BN32" s="193"/>
      <c r="BO32" s="193"/>
      <c r="BP32" s="193"/>
      <c r="BQ32" s="193"/>
      <c r="BR32" s="193"/>
      <c r="BS32" s="193"/>
      <c r="BT32" s="193"/>
      <c r="BU32" s="193"/>
    </row>
    <row r="33" spans="2:73" ht="39.75" customHeight="1" x14ac:dyDescent="0.25">
      <c r="B33" s="193"/>
      <c r="C33" s="194">
        <v>27</v>
      </c>
      <c r="D33" s="195" t="s">
        <v>2248</v>
      </c>
      <c r="E33" s="195" t="s">
        <v>2249</v>
      </c>
      <c r="F33" s="195" t="s">
        <v>2250</v>
      </c>
      <c r="G33" s="195" t="s">
        <v>2251</v>
      </c>
      <c r="H33" s="195" t="s">
        <v>2248</v>
      </c>
      <c r="I33" s="195" t="s">
        <v>2249</v>
      </c>
      <c r="J33" s="195" t="s">
        <v>2252</v>
      </c>
      <c r="K33" s="195" t="s">
        <v>2253</v>
      </c>
      <c r="L33" s="195" t="s">
        <v>2254</v>
      </c>
      <c r="M33" s="199"/>
      <c r="N33" s="199"/>
      <c r="O33" s="199"/>
      <c r="P33" s="199" t="s">
        <v>2016</v>
      </c>
      <c r="Q33" s="199" t="s">
        <v>2255</v>
      </c>
      <c r="R33" s="197" t="s">
        <v>2256</v>
      </c>
      <c r="S33" s="197" t="s">
        <v>2257</v>
      </c>
      <c r="T33" s="182" t="s">
        <v>1714</v>
      </c>
      <c r="U33" s="182" t="s">
        <v>1737</v>
      </c>
      <c r="V33" s="198" t="s">
        <v>2258</v>
      </c>
      <c r="W33" s="198" t="s">
        <v>2252</v>
      </c>
      <c r="X33" s="198" t="s">
        <v>2259</v>
      </c>
      <c r="Y33" s="199" t="s">
        <v>1638</v>
      </c>
      <c r="Z33" s="199" t="s">
        <v>1639</v>
      </c>
      <c r="AA33" s="199" t="s">
        <v>1640</v>
      </c>
      <c r="AB33" s="199" t="s">
        <v>1641</v>
      </c>
      <c r="AC33" s="200" t="s">
        <v>1856</v>
      </c>
      <c r="AD33" s="200" t="s">
        <v>2260</v>
      </c>
      <c r="AE33" s="200" t="s">
        <v>1644</v>
      </c>
      <c r="AF33" s="200" t="s">
        <v>1885</v>
      </c>
      <c r="AG33" s="200" t="s">
        <v>1749</v>
      </c>
      <c r="AH33" s="200" t="s">
        <v>1863</v>
      </c>
      <c r="AI33" s="200" t="s">
        <v>1648</v>
      </c>
      <c r="AJ33" s="15" t="s">
        <v>2261</v>
      </c>
      <c r="AK33" s="201" t="s">
        <v>2262</v>
      </c>
      <c r="AL33" s="201" t="s">
        <v>2263</v>
      </c>
      <c r="AM33" s="201" t="s">
        <v>1915</v>
      </c>
      <c r="AN33" s="201" t="s">
        <v>1863</v>
      </c>
      <c r="AO33" s="201" t="s">
        <v>1654</v>
      </c>
      <c r="AP33" s="201" t="s">
        <v>1754</v>
      </c>
      <c r="AQ33" s="202" t="s">
        <v>2264</v>
      </c>
      <c r="AR33" s="203" t="s">
        <v>1714</v>
      </c>
      <c r="AS33" s="193"/>
      <c r="AT33" s="193"/>
      <c r="AU33" s="193"/>
      <c r="AV33" s="193"/>
      <c r="AW33" s="193"/>
      <c r="AX33" s="193"/>
      <c r="AY33" s="193"/>
      <c r="AZ33" s="193"/>
      <c r="BA33" s="193"/>
      <c r="BB33" s="193"/>
      <c r="BC33" s="193"/>
      <c r="BD33" s="193"/>
      <c r="BE33" s="193"/>
      <c r="BF33" s="193"/>
      <c r="BG33" s="193"/>
      <c r="BH33" s="193"/>
      <c r="BI33" s="193"/>
      <c r="BJ33" s="193"/>
      <c r="BK33" s="193"/>
      <c r="BL33" s="193"/>
      <c r="BM33" s="193"/>
      <c r="BN33" s="193"/>
      <c r="BO33" s="193"/>
      <c r="BP33" s="193"/>
      <c r="BQ33" s="193"/>
      <c r="BR33" s="193"/>
      <c r="BS33" s="193"/>
      <c r="BT33" s="193"/>
      <c r="BU33" s="193"/>
    </row>
    <row r="34" spans="2:73" ht="39.75" customHeight="1" x14ac:dyDescent="0.25">
      <c r="B34" s="193"/>
      <c r="C34" s="194">
        <v>28</v>
      </c>
      <c r="D34" s="195" t="s">
        <v>2265</v>
      </c>
      <c r="E34" s="195" t="s">
        <v>2266</v>
      </c>
      <c r="F34" s="195" t="s">
        <v>2267</v>
      </c>
      <c r="G34" s="195" t="s">
        <v>2268</v>
      </c>
      <c r="H34" s="195" t="s">
        <v>2265</v>
      </c>
      <c r="I34" s="195" t="s">
        <v>2269</v>
      </c>
      <c r="J34" s="195" t="s">
        <v>2270</v>
      </c>
      <c r="K34" s="195" t="s">
        <v>2271</v>
      </c>
      <c r="L34" s="195" t="s">
        <v>2272</v>
      </c>
      <c r="M34" s="195" t="s">
        <v>2273</v>
      </c>
      <c r="N34" s="196" t="s">
        <v>2274</v>
      </c>
      <c r="O34" s="195" t="s">
        <v>2275</v>
      </c>
      <c r="P34" s="195" t="s">
        <v>2016</v>
      </c>
      <c r="Q34" s="195" t="s">
        <v>2276</v>
      </c>
      <c r="R34" s="197" t="s">
        <v>2277</v>
      </c>
      <c r="S34" s="197" t="s">
        <v>2278</v>
      </c>
      <c r="T34" s="182" t="s">
        <v>1714</v>
      </c>
      <c r="U34" s="182" t="s">
        <v>2279</v>
      </c>
      <c r="V34" s="198" t="s">
        <v>2280</v>
      </c>
      <c r="W34" s="198" t="s">
        <v>2270</v>
      </c>
      <c r="X34" s="198" t="s">
        <v>2281</v>
      </c>
      <c r="Y34" s="199" t="s">
        <v>1638</v>
      </c>
      <c r="Z34" s="199" t="s">
        <v>1639</v>
      </c>
      <c r="AA34" s="199" t="s">
        <v>1640</v>
      </c>
      <c r="AB34" s="199" t="s">
        <v>1800</v>
      </c>
      <c r="AC34" s="200" t="s">
        <v>2282</v>
      </c>
      <c r="AD34" s="200" t="s">
        <v>2260</v>
      </c>
      <c r="AE34" s="200" t="s">
        <v>1644</v>
      </c>
      <c r="AF34" s="200" t="s">
        <v>1645</v>
      </c>
      <c r="AG34" s="200" t="s">
        <v>1749</v>
      </c>
      <c r="AH34" s="200" t="s">
        <v>2283</v>
      </c>
      <c r="AI34" s="200" t="s">
        <v>1648</v>
      </c>
      <c r="AJ34" s="15" t="s">
        <v>2284</v>
      </c>
      <c r="AK34" s="204" t="s">
        <v>2262</v>
      </c>
      <c r="AL34" s="204" t="s">
        <v>2263</v>
      </c>
      <c r="AM34" s="204" t="s">
        <v>1915</v>
      </c>
      <c r="AN34" s="204" t="s">
        <v>1863</v>
      </c>
      <c r="AO34" s="204" t="s">
        <v>1654</v>
      </c>
      <c r="AP34" s="204" t="s">
        <v>1754</v>
      </c>
      <c r="AQ34" s="205" t="s">
        <v>2285</v>
      </c>
      <c r="AR34" s="206" t="s">
        <v>1714</v>
      </c>
      <c r="AS34" s="193"/>
      <c r="AT34" s="193"/>
      <c r="AU34" s="193"/>
      <c r="AV34" s="193"/>
      <c r="AW34" s="193"/>
      <c r="AX34" s="193"/>
      <c r="AY34" s="193"/>
      <c r="AZ34" s="193"/>
      <c r="BA34" s="193"/>
      <c r="BB34" s="193"/>
      <c r="BC34" s="193"/>
      <c r="BD34" s="193"/>
      <c r="BE34" s="193"/>
      <c r="BF34" s="193"/>
      <c r="BG34" s="193"/>
      <c r="BH34" s="193"/>
      <c r="BI34" s="193"/>
      <c r="BJ34" s="193"/>
      <c r="BK34" s="193"/>
      <c r="BL34" s="193"/>
      <c r="BM34" s="193"/>
      <c r="BN34" s="193"/>
      <c r="BO34" s="193"/>
      <c r="BP34" s="193"/>
      <c r="BQ34" s="193"/>
      <c r="BR34" s="193"/>
      <c r="BS34" s="193"/>
      <c r="BT34" s="193"/>
      <c r="BU34" s="193"/>
    </row>
    <row r="35" spans="2:73" ht="39.75" customHeight="1" x14ac:dyDescent="0.25">
      <c r="B35" s="193"/>
      <c r="C35" s="194">
        <v>29</v>
      </c>
      <c r="D35" s="195" t="s">
        <v>2286</v>
      </c>
      <c r="E35" s="195" t="s">
        <v>1662</v>
      </c>
      <c r="F35" s="195" t="s">
        <v>2287</v>
      </c>
      <c r="G35" s="195" t="s">
        <v>2288</v>
      </c>
      <c r="H35" s="195" t="s">
        <v>2286</v>
      </c>
      <c r="I35" s="195" t="s">
        <v>2289</v>
      </c>
      <c r="J35" s="195" t="s">
        <v>2290</v>
      </c>
      <c r="K35" s="195" t="s">
        <v>2291</v>
      </c>
      <c r="L35" s="195" t="s">
        <v>2292</v>
      </c>
      <c r="M35" s="195" t="s">
        <v>2293</v>
      </c>
      <c r="N35" s="196" t="s">
        <v>2294</v>
      </c>
      <c r="O35" s="195" t="s">
        <v>2295</v>
      </c>
      <c r="P35" s="195" t="s">
        <v>2016</v>
      </c>
      <c r="Q35" s="195" t="s">
        <v>2296</v>
      </c>
      <c r="R35" s="197" t="s">
        <v>2297</v>
      </c>
      <c r="S35" s="197" t="s">
        <v>2298</v>
      </c>
      <c r="T35" s="182" t="s">
        <v>1931</v>
      </c>
      <c r="U35" s="182" t="s">
        <v>1714</v>
      </c>
      <c r="V35" s="198" t="s">
        <v>2299</v>
      </c>
      <c r="W35" s="198" t="s">
        <v>2300</v>
      </c>
      <c r="X35" s="198" t="s">
        <v>2301</v>
      </c>
      <c r="Y35" s="199" t="s">
        <v>1638</v>
      </c>
      <c r="Z35" s="199" t="s">
        <v>1639</v>
      </c>
      <c r="AA35" s="199" t="s">
        <v>1640</v>
      </c>
      <c r="AB35" s="199" t="s">
        <v>1641</v>
      </c>
      <c r="AC35" s="200" t="s">
        <v>1746</v>
      </c>
      <c r="AD35" s="200" t="s">
        <v>1718</v>
      </c>
      <c r="AE35" s="200" t="s">
        <v>1644</v>
      </c>
      <c r="AF35" s="200" t="s">
        <v>1699</v>
      </c>
      <c r="AG35" s="200" t="s">
        <v>1700</v>
      </c>
      <c r="AH35" s="200" t="s">
        <v>1780</v>
      </c>
      <c r="AI35" s="200" t="s">
        <v>1648</v>
      </c>
      <c r="AJ35" s="15" t="s">
        <v>2302</v>
      </c>
      <c r="AK35" s="201" t="s">
        <v>2303</v>
      </c>
      <c r="AL35" s="201" t="s">
        <v>2304</v>
      </c>
      <c r="AM35" s="201" t="s">
        <v>1915</v>
      </c>
      <c r="AN35" s="201" t="s">
        <v>1863</v>
      </c>
      <c r="AO35" s="201" t="s">
        <v>1654</v>
      </c>
      <c r="AP35" s="201" t="s">
        <v>1754</v>
      </c>
      <c r="AQ35" s="202" t="s">
        <v>2305</v>
      </c>
      <c r="AR35" s="203" t="s">
        <v>2306</v>
      </c>
      <c r="AS35" s="193"/>
      <c r="AT35" s="193"/>
      <c r="AU35" s="193"/>
      <c r="AV35" s="193"/>
      <c r="AW35" s="193"/>
      <c r="AX35" s="193"/>
      <c r="AY35" s="193"/>
      <c r="AZ35" s="193"/>
      <c r="BA35" s="193"/>
      <c r="BB35" s="193"/>
      <c r="BC35" s="193"/>
      <c r="BD35" s="193"/>
      <c r="BE35" s="193"/>
      <c r="BF35" s="193"/>
      <c r="BG35" s="193"/>
      <c r="BH35" s="193"/>
      <c r="BI35" s="193"/>
      <c r="BJ35" s="193"/>
      <c r="BK35" s="193"/>
      <c r="BL35" s="193"/>
      <c r="BM35" s="193"/>
      <c r="BN35" s="193"/>
      <c r="BO35" s="193"/>
      <c r="BP35" s="193"/>
      <c r="BQ35" s="193"/>
      <c r="BR35" s="193"/>
      <c r="BS35" s="193"/>
      <c r="BT35" s="193"/>
      <c r="BU35" s="193"/>
    </row>
    <row r="36" spans="2:73" ht="39.75" customHeight="1" x14ac:dyDescent="0.25">
      <c r="B36" s="193"/>
      <c r="C36" s="194">
        <v>30</v>
      </c>
      <c r="D36" s="195" t="s">
        <v>2307</v>
      </c>
      <c r="E36" s="195" t="s">
        <v>2308</v>
      </c>
      <c r="F36" s="195" t="s">
        <v>2309</v>
      </c>
      <c r="G36" s="195" t="s">
        <v>2310</v>
      </c>
      <c r="H36" s="195" t="s">
        <v>2307</v>
      </c>
      <c r="I36" s="195" t="s">
        <v>2308</v>
      </c>
      <c r="J36" s="195" t="s">
        <v>2311</v>
      </c>
      <c r="K36" s="195" t="s">
        <v>2195</v>
      </c>
      <c r="L36" s="195" t="s">
        <v>2312</v>
      </c>
      <c r="M36" s="199"/>
      <c r="N36" s="199"/>
      <c r="O36" s="199"/>
      <c r="P36" s="199" t="s">
        <v>2313</v>
      </c>
      <c r="Q36" s="199" t="s">
        <v>2314</v>
      </c>
      <c r="R36" s="197" t="s">
        <v>2315</v>
      </c>
      <c r="S36" s="197" t="s">
        <v>2316</v>
      </c>
      <c r="T36" s="182" t="s">
        <v>1931</v>
      </c>
      <c r="U36" s="182" t="s">
        <v>2317</v>
      </c>
      <c r="V36" s="198" t="s">
        <v>2318</v>
      </c>
      <c r="W36" s="198" t="s">
        <v>2311</v>
      </c>
      <c r="X36" s="198" t="s">
        <v>2319</v>
      </c>
      <c r="Y36" s="199" t="s">
        <v>1638</v>
      </c>
      <c r="Z36" s="199" t="s">
        <v>1639</v>
      </c>
      <c r="AA36" s="199" t="s">
        <v>1640</v>
      </c>
      <c r="AB36" s="199" t="s">
        <v>1800</v>
      </c>
      <c r="AC36" s="200" t="s">
        <v>1746</v>
      </c>
      <c r="AD36" s="200" t="s">
        <v>1718</v>
      </c>
      <c r="AE36" s="200" t="s">
        <v>1644</v>
      </c>
      <c r="AF36" s="200" t="s">
        <v>2320</v>
      </c>
      <c r="AG36" s="200" t="s">
        <v>1700</v>
      </c>
      <c r="AH36" s="200" t="s">
        <v>2283</v>
      </c>
      <c r="AI36" s="200" t="s">
        <v>1648</v>
      </c>
      <c r="AJ36" s="15" t="s">
        <v>2321</v>
      </c>
      <c r="AK36" s="204" t="s">
        <v>2303</v>
      </c>
      <c r="AL36" s="204" t="s">
        <v>2304</v>
      </c>
      <c r="AM36" s="204" t="s">
        <v>1915</v>
      </c>
      <c r="AN36" s="204" t="s">
        <v>1863</v>
      </c>
      <c r="AO36" s="204" t="s">
        <v>1654</v>
      </c>
      <c r="AP36" s="204" t="s">
        <v>1754</v>
      </c>
      <c r="AQ36" s="205" t="s">
        <v>2322</v>
      </c>
      <c r="AR36" s="206" t="s">
        <v>2306</v>
      </c>
      <c r="AS36" s="193"/>
      <c r="AT36" s="193"/>
      <c r="AU36" s="193"/>
      <c r="AV36" s="193"/>
      <c r="AW36" s="193"/>
      <c r="AX36" s="193"/>
      <c r="AY36" s="193"/>
      <c r="AZ36" s="193"/>
      <c r="BA36" s="193"/>
      <c r="BB36" s="193"/>
      <c r="BC36" s="193"/>
      <c r="BD36" s="193"/>
      <c r="BE36" s="193"/>
      <c r="BF36" s="193"/>
      <c r="BG36" s="193"/>
      <c r="BH36" s="193"/>
      <c r="BI36" s="193"/>
      <c r="BJ36" s="193"/>
      <c r="BK36" s="193"/>
      <c r="BL36" s="193"/>
      <c r="BM36" s="193"/>
      <c r="BN36" s="193"/>
      <c r="BO36" s="193"/>
      <c r="BP36" s="193"/>
      <c r="BQ36" s="193"/>
      <c r="BR36" s="193"/>
      <c r="BS36" s="193"/>
      <c r="BT36" s="193"/>
      <c r="BU36" s="193"/>
    </row>
    <row r="37" spans="2:73" ht="39.75" customHeight="1" x14ac:dyDescent="0.25">
      <c r="B37" s="193"/>
      <c r="C37" s="194">
        <v>31</v>
      </c>
      <c r="D37" s="195" t="s">
        <v>2323</v>
      </c>
      <c r="E37" s="195" t="s">
        <v>2324</v>
      </c>
      <c r="F37" s="195" t="s">
        <v>2325</v>
      </c>
      <c r="G37" s="195" t="s">
        <v>2326</v>
      </c>
      <c r="H37" s="195" t="s">
        <v>2327</v>
      </c>
      <c r="I37" s="195" t="s">
        <v>1837</v>
      </c>
      <c r="J37" s="195" t="s">
        <v>2328</v>
      </c>
      <c r="K37" s="195" t="s">
        <v>2329</v>
      </c>
      <c r="L37" s="195" t="s">
        <v>2330</v>
      </c>
      <c r="M37" s="199"/>
      <c r="N37" s="199"/>
      <c r="O37" s="199"/>
      <c r="P37" s="199" t="s">
        <v>2331</v>
      </c>
      <c r="Q37" s="199" t="s">
        <v>2332</v>
      </c>
      <c r="R37" s="197" t="s">
        <v>2333</v>
      </c>
      <c r="S37" s="199"/>
      <c r="T37" s="182" t="s">
        <v>2334</v>
      </c>
      <c r="U37" s="182" t="s">
        <v>2279</v>
      </c>
      <c r="V37" s="198" t="s">
        <v>2335</v>
      </c>
      <c r="W37" s="198" t="s">
        <v>2336</v>
      </c>
      <c r="X37" s="198" t="s">
        <v>2337</v>
      </c>
      <c r="Y37" s="199" t="s">
        <v>2338</v>
      </c>
      <c r="Z37" s="199" t="s">
        <v>2339</v>
      </c>
      <c r="AA37" s="199" t="s">
        <v>2340</v>
      </c>
      <c r="AB37" s="199" t="s">
        <v>2341</v>
      </c>
      <c r="AC37" s="200" t="s">
        <v>1746</v>
      </c>
      <c r="AD37" s="200" t="s">
        <v>2342</v>
      </c>
      <c r="AE37" s="200" t="s">
        <v>1644</v>
      </c>
      <c r="AF37" s="200" t="s">
        <v>1653</v>
      </c>
      <c r="AG37" s="200" t="s">
        <v>1646</v>
      </c>
      <c r="AH37" s="200" t="s">
        <v>1863</v>
      </c>
      <c r="AI37" s="200" t="s">
        <v>1648</v>
      </c>
      <c r="AJ37" s="15" t="s">
        <v>2343</v>
      </c>
      <c r="AK37" s="201" t="s">
        <v>1860</v>
      </c>
      <c r="AL37" s="201" t="s">
        <v>1861</v>
      </c>
      <c r="AM37" s="201" t="s">
        <v>1862</v>
      </c>
      <c r="AN37" s="201" t="s">
        <v>1753</v>
      </c>
      <c r="AO37" s="201" t="s">
        <v>1654</v>
      </c>
      <c r="AP37" s="201" t="s">
        <v>1754</v>
      </c>
      <c r="AQ37" s="202" t="s">
        <v>2344</v>
      </c>
      <c r="AR37" s="203" t="s">
        <v>1865</v>
      </c>
      <c r="AS37" s="193"/>
      <c r="AT37" s="193"/>
      <c r="AU37" s="193"/>
      <c r="AV37" s="193"/>
      <c r="AW37" s="193"/>
      <c r="AX37" s="193"/>
      <c r="AY37" s="193"/>
      <c r="AZ37" s="193"/>
      <c r="BA37" s="193"/>
      <c r="BB37" s="193"/>
      <c r="BC37" s="193"/>
      <c r="BD37" s="193"/>
      <c r="BE37" s="193"/>
      <c r="BF37" s="193"/>
      <c r="BG37" s="193"/>
      <c r="BH37" s="193"/>
      <c r="BI37" s="193"/>
      <c r="BJ37" s="193"/>
      <c r="BK37" s="193"/>
      <c r="BL37" s="193"/>
      <c r="BM37" s="193"/>
      <c r="BN37" s="193"/>
      <c r="BO37" s="193"/>
      <c r="BP37" s="193"/>
      <c r="BQ37" s="193"/>
      <c r="BR37" s="193"/>
      <c r="BS37" s="193"/>
      <c r="BT37" s="193"/>
      <c r="BU37" s="193"/>
    </row>
    <row r="38" spans="2:73" ht="39.75" customHeight="1" x14ac:dyDescent="0.25">
      <c r="B38" s="193"/>
      <c r="C38" s="194">
        <v>32</v>
      </c>
      <c r="D38" s="195" t="s">
        <v>2345</v>
      </c>
      <c r="E38" s="195" t="s">
        <v>2346</v>
      </c>
      <c r="F38" s="195" t="s">
        <v>2347</v>
      </c>
      <c r="G38" s="195" t="s">
        <v>2348</v>
      </c>
      <c r="H38" s="195" t="s">
        <v>2345</v>
      </c>
      <c r="I38" s="195" t="s">
        <v>2349</v>
      </c>
      <c r="J38" s="195" t="s">
        <v>2350</v>
      </c>
      <c r="K38" s="195" t="s">
        <v>2351</v>
      </c>
      <c r="L38" s="195" t="s">
        <v>2352</v>
      </c>
      <c r="M38" s="199"/>
      <c r="N38" s="199"/>
      <c r="O38" s="199"/>
      <c r="P38" s="199" t="s">
        <v>2062</v>
      </c>
      <c r="Q38" s="199" t="s">
        <v>2353</v>
      </c>
      <c r="R38" s="197" t="s">
        <v>2354</v>
      </c>
      <c r="S38" s="199"/>
      <c r="T38" s="182" t="s">
        <v>2020</v>
      </c>
      <c r="U38" s="182" t="s">
        <v>1738</v>
      </c>
      <c r="V38" s="198" t="s">
        <v>2355</v>
      </c>
      <c r="W38" s="198" t="s">
        <v>2356</v>
      </c>
      <c r="X38" s="198" t="s">
        <v>2357</v>
      </c>
      <c r="Y38" s="199" t="s">
        <v>2338</v>
      </c>
      <c r="Z38" s="199" t="s">
        <v>2339</v>
      </c>
      <c r="AA38" s="199" t="s">
        <v>2340</v>
      </c>
      <c r="AB38" s="199" t="s">
        <v>2341</v>
      </c>
      <c r="AC38" s="200" t="s">
        <v>1746</v>
      </c>
      <c r="AD38" s="200" t="s">
        <v>1718</v>
      </c>
      <c r="AE38" s="200" t="s">
        <v>1644</v>
      </c>
      <c r="AF38" s="200" t="s">
        <v>1653</v>
      </c>
      <c r="AG38" s="200" t="s">
        <v>1646</v>
      </c>
      <c r="AH38" s="200" t="s">
        <v>2358</v>
      </c>
      <c r="AI38" s="200" t="s">
        <v>1648</v>
      </c>
      <c r="AJ38" s="15" t="s">
        <v>2359</v>
      </c>
      <c r="AK38" s="204" t="s">
        <v>1751</v>
      </c>
      <c r="AL38" s="204" t="s">
        <v>1752</v>
      </c>
      <c r="AM38" s="204" t="s">
        <v>1915</v>
      </c>
      <c r="AN38" s="204" t="s">
        <v>1863</v>
      </c>
      <c r="AO38" s="204" t="s">
        <v>1654</v>
      </c>
      <c r="AP38" s="204" t="s">
        <v>1754</v>
      </c>
      <c r="AQ38" s="205" t="s">
        <v>2360</v>
      </c>
      <c r="AR38" s="206" t="s">
        <v>1756</v>
      </c>
      <c r="AS38" s="193"/>
      <c r="AT38" s="193"/>
      <c r="AU38" s="193"/>
      <c r="AV38" s="193"/>
      <c r="AW38" s="193"/>
      <c r="AX38" s="193"/>
      <c r="AY38" s="193"/>
      <c r="AZ38" s="193"/>
      <c r="BA38" s="193"/>
      <c r="BB38" s="193"/>
      <c r="BC38" s="193"/>
      <c r="BD38" s="193"/>
      <c r="BE38" s="193"/>
      <c r="BF38" s="193"/>
      <c r="BG38" s="193"/>
      <c r="BH38" s="193"/>
      <c r="BI38" s="193"/>
      <c r="BJ38" s="193"/>
      <c r="BK38" s="193"/>
      <c r="BL38" s="193"/>
      <c r="BM38" s="193"/>
      <c r="BN38" s="193"/>
      <c r="BO38" s="193"/>
      <c r="BP38" s="193"/>
      <c r="BQ38" s="193"/>
      <c r="BR38" s="193"/>
      <c r="BS38" s="193"/>
      <c r="BT38" s="193"/>
      <c r="BU38" s="193"/>
    </row>
    <row r="39" spans="2:73" ht="39.75" customHeight="1" x14ac:dyDescent="0.25">
      <c r="B39" s="193"/>
      <c r="C39" s="194">
        <v>33</v>
      </c>
      <c r="D39" s="195" t="s">
        <v>2361</v>
      </c>
      <c r="E39" s="195" t="s">
        <v>2362</v>
      </c>
      <c r="F39" s="195" t="s">
        <v>1660</v>
      </c>
      <c r="G39" s="195" t="s">
        <v>2363</v>
      </c>
      <c r="H39" s="195" t="s">
        <v>2364</v>
      </c>
      <c r="I39" s="195" t="s">
        <v>2365</v>
      </c>
      <c r="J39" s="195" t="s">
        <v>2366</v>
      </c>
      <c r="K39" s="195" t="s">
        <v>2367</v>
      </c>
      <c r="L39" s="195" t="s">
        <v>2368</v>
      </c>
      <c r="M39" s="199"/>
      <c r="N39" s="199"/>
      <c r="O39" s="199"/>
      <c r="P39" s="199" t="s">
        <v>1629</v>
      </c>
      <c r="Q39" s="199" t="s">
        <v>2369</v>
      </c>
      <c r="R39" s="197" t="s">
        <v>2370</v>
      </c>
      <c r="S39" s="199"/>
      <c r="T39" s="182" t="s">
        <v>1694</v>
      </c>
      <c r="U39" s="182" t="s">
        <v>2371</v>
      </c>
      <c r="V39" s="198" t="s">
        <v>2372</v>
      </c>
      <c r="W39" s="198" t="s">
        <v>2373</v>
      </c>
      <c r="X39" s="198" t="s">
        <v>2374</v>
      </c>
      <c r="Y39" s="199" t="s">
        <v>2338</v>
      </c>
      <c r="Z39" s="199" t="s">
        <v>2339</v>
      </c>
      <c r="AA39" s="199" t="s">
        <v>2340</v>
      </c>
      <c r="AB39" s="199" t="s">
        <v>2341</v>
      </c>
      <c r="AC39" s="200" t="s">
        <v>1746</v>
      </c>
      <c r="AD39" s="200" t="s">
        <v>1718</v>
      </c>
      <c r="AE39" s="200" t="s">
        <v>1644</v>
      </c>
      <c r="AF39" s="200" t="s">
        <v>1699</v>
      </c>
      <c r="AG39" s="200" t="s">
        <v>1857</v>
      </c>
      <c r="AH39" s="200" t="s">
        <v>1863</v>
      </c>
      <c r="AI39" s="200" t="s">
        <v>1648</v>
      </c>
      <c r="AJ39" s="15" t="s">
        <v>2375</v>
      </c>
      <c r="AK39" s="201" t="s">
        <v>1913</v>
      </c>
      <c r="AL39" s="201" t="s">
        <v>1914</v>
      </c>
      <c r="AM39" s="201" t="s">
        <v>1652</v>
      </c>
      <c r="AN39" s="201" t="s">
        <v>1863</v>
      </c>
      <c r="AO39" s="201" t="s">
        <v>1654</v>
      </c>
      <c r="AP39" s="201" t="s">
        <v>1917</v>
      </c>
      <c r="AQ39" s="202" t="s">
        <v>2376</v>
      </c>
      <c r="AR39" s="203" t="s">
        <v>1919</v>
      </c>
      <c r="AS39" s="193"/>
      <c r="AT39" s="193"/>
      <c r="AU39" s="193"/>
      <c r="AV39" s="193"/>
      <c r="AW39" s="193"/>
      <c r="AX39" s="193"/>
      <c r="AY39" s="193"/>
      <c r="AZ39" s="193"/>
      <c r="BA39" s="193"/>
      <c r="BB39" s="193"/>
      <c r="BC39" s="193"/>
      <c r="BD39" s="193"/>
      <c r="BE39" s="193"/>
      <c r="BF39" s="193"/>
      <c r="BG39" s="193"/>
      <c r="BH39" s="193"/>
      <c r="BI39" s="193"/>
      <c r="BJ39" s="193"/>
      <c r="BK39" s="193"/>
      <c r="BL39" s="193"/>
      <c r="BM39" s="193"/>
      <c r="BN39" s="193"/>
      <c r="BO39" s="193"/>
      <c r="BP39" s="193"/>
      <c r="BQ39" s="193"/>
      <c r="BR39" s="193"/>
      <c r="BS39" s="193"/>
      <c r="BT39" s="193"/>
      <c r="BU39" s="193"/>
    </row>
    <row r="40" spans="2:73" ht="39.75" customHeight="1" x14ac:dyDescent="0.25">
      <c r="B40" s="193"/>
      <c r="C40" s="194">
        <v>34</v>
      </c>
      <c r="D40" s="195" t="s">
        <v>2377</v>
      </c>
      <c r="E40" s="195" t="s">
        <v>2378</v>
      </c>
      <c r="F40" s="195" t="s">
        <v>2074</v>
      </c>
      <c r="G40" s="195" t="s">
        <v>2379</v>
      </c>
      <c r="H40" s="195" t="s">
        <v>2377</v>
      </c>
      <c r="I40" s="195" t="s">
        <v>2378</v>
      </c>
      <c r="J40" s="195" t="s">
        <v>2380</v>
      </c>
      <c r="K40" s="195" t="s">
        <v>2381</v>
      </c>
      <c r="L40" s="195" t="s">
        <v>2382</v>
      </c>
      <c r="M40" s="195" t="s">
        <v>1815</v>
      </c>
      <c r="N40" s="196" t="s">
        <v>2383</v>
      </c>
      <c r="O40" s="195" t="s">
        <v>2384</v>
      </c>
      <c r="P40" s="195" t="s">
        <v>2385</v>
      </c>
      <c r="Q40" s="195" t="s">
        <v>2386</v>
      </c>
      <c r="R40" s="197" t="s">
        <v>2387</v>
      </c>
      <c r="S40" s="196"/>
      <c r="T40" s="182" t="s">
        <v>1823</v>
      </c>
      <c r="U40" s="182" t="s">
        <v>2224</v>
      </c>
      <c r="V40" s="198" t="s">
        <v>2388</v>
      </c>
      <c r="W40" s="198" t="s">
        <v>2389</v>
      </c>
      <c r="X40" s="198" t="s">
        <v>2390</v>
      </c>
      <c r="Y40" s="199" t="s">
        <v>2338</v>
      </c>
      <c r="Z40" s="199" t="s">
        <v>2339</v>
      </c>
      <c r="AA40" s="199" t="s">
        <v>2340</v>
      </c>
      <c r="AB40" s="199" t="s">
        <v>2341</v>
      </c>
      <c r="AC40" s="200" t="s">
        <v>1746</v>
      </c>
      <c r="AD40" s="200" t="s">
        <v>1718</v>
      </c>
      <c r="AE40" s="200" t="s">
        <v>1644</v>
      </c>
      <c r="AF40" s="200" t="s">
        <v>1677</v>
      </c>
      <c r="AG40" s="200" t="s">
        <v>1749</v>
      </c>
      <c r="AH40" s="200" t="s">
        <v>1778</v>
      </c>
      <c r="AI40" s="200" t="s">
        <v>1648</v>
      </c>
      <c r="AJ40" s="15" t="s">
        <v>2391</v>
      </c>
      <c r="AK40" s="204" t="s">
        <v>1829</v>
      </c>
      <c r="AL40" s="204" t="s">
        <v>1830</v>
      </c>
      <c r="AM40" s="204" t="s">
        <v>1983</v>
      </c>
      <c r="AN40" s="204" t="s">
        <v>1653</v>
      </c>
      <c r="AO40" s="204" t="s">
        <v>1654</v>
      </c>
      <c r="AP40" s="204" t="s">
        <v>1655</v>
      </c>
      <c r="AQ40" s="205" t="s">
        <v>2392</v>
      </c>
      <c r="AR40" s="206" t="s">
        <v>1832</v>
      </c>
      <c r="AS40" s="193"/>
      <c r="AT40" s="193"/>
      <c r="AU40" s="193"/>
      <c r="AV40" s="193"/>
      <c r="AW40" s="193"/>
      <c r="AX40" s="193"/>
      <c r="AY40" s="193"/>
      <c r="AZ40" s="193"/>
      <c r="BA40" s="193"/>
      <c r="BB40" s="193"/>
      <c r="BC40" s="193"/>
      <c r="BD40" s="193"/>
      <c r="BE40" s="193"/>
      <c r="BF40" s="193"/>
      <c r="BG40" s="193"/>
      <c r="BH40" s="193"/>
      <c r="BI40" s="193"/>
      <c r="BJ40" s="193"/>
      <c r="BK40" s="193"/>
      <c r="BL40" s="193"/>
      <c r="BM40" s="193"/>
      <c r="BN40" s="193"/>
      <c r="BO40" s="193"/>
      <c r="BP40" s="193"/>
      <c r="BQ40" s="193"/>
      <c r="BR40" s="193"/>
      <c r="BS40" s="193"/>
      <c r="BT40" s="193"/>
      <c r="BU40" s="193"/>
    </row>
    <row r="41" spans="2:73" ht="39.75" customHeight="1" x14ac:dyDescent="0.25">
      <c r="B41" s="193"/>
      <c r="C41" s="194">
        <v>35</v>
      </c>
      <c r="D41" s="195" t="s">
        <v>2393</v>
      </c>
      <c r="E41" s="195" t="s">
        <v>2394</v>
      </c>
      <c r="F41" s="195" t="s">
        <v>2395</v>
      </c>
      <c r="G41" s="195" t="s">
        <v>2396</v>
      </c>
      <c r="H41" s="195" t="s">
        <v>2393</v>
      </c>
      <c r="I41" s="195" t="s">
        <v>2394</v>
      </c>
      <c r="J41" s="195" t="s">
        <v>2380</v>
      </c>
      <c r="K41" s="195" t="s">
        <v>2195</v>
      </c>
      <c r="L41" s="195" t="s">
        <v>1966</v>
      </c>
      <c r="M41" s="195" t="s">
        <v>2397</v>
      </c>
      <c r="N41" s="196" t="s">
        <v>2398</v>
      </c>
      <c r="O41" s="195" t="s">
        <v>2399</v>
      </c>
      <c r="P41" s="195" t="s">
        <v>1970</v>
      </c>
      <c r="Q41" s="195" t="s">
        <v>2400</v>
      </c>
      <c r="R41" s="197" t="s">
        <v>2401</v>
      </c>
      <c r="S41" s="196"/>
      <c r="T41" s="182" t="s">
        <v>2224</v>
      </c>
      <c r="U41" s="182" t="s">
        <v>1823</v>
      </c>
      <c r="V41" s="198" t="s">
        <v>2402</v>
      </c>
      <c r="W41" s="198" t="s">
        <v>2403</v>
      </c>
      <c r="X41" s="198" t="s">
        <v>2404</v>
      </c>
      <c r="Y41" s="199" t="s">
        <v>2338</v>
      </c>
      <c r="Z41" s="199" t="s">
        <v>2339</v>
      </c>
      <c r="AA41" s="199" t="s">
        <v>2340</v>
      </c>
      <c r="AB41" s="199" t="s">
        <v>2341</v>
      </c>
      <c r="AC41" s="200" t="s">
        <v>1746</v>
      </c>
      <c r="AD41" s="200" t="s">
        <v>1718</v>
      </c>
      <c r="AE41" s="200" t="s">
        <v>1644</v>
      </c>
      <c r="AF41" s="200" t="s">
        <v>1981</v>
      </c>
      <c r="AG41" s="200" t="s">
        <v>1749</v>
      </c>
      <c r="AH41" s="200" t="s">
        <v>1778</v>
      </c>
      <c r="AI41" s="200" t="s">
        <v>1648</v>
      </c>
      <c r="AJ41" s="15" t="s">
        <v>2405</v>
      </c>
      <c r="AK41" s="201" t="s">
        <v>1983</v>
      </c>
      <c r="AL41" s="201" t="s">
        <v>1984</v>
      </c>
      <c r="AM41" s="201" t="s">
        <v>1983</v>
      </c>
      <c r="AN41" s="201" t="s">
        <v>1863</v>
      </c>
      <c r="AO41" s="201" t="s">
        <v>1654</v>
      </c>
      <c r="AP41" s="201" t="s">
        <v>1917</v>
      </c>
      <c r="AQ41" s="202" t="s">
        <v>2005</v>
      </c>
      <c r="AR41" s="203" t="s">
        <v>1986</v>
      </c>
      <c r="AS41" s="193"/>
      <c r="AT41" s="193"/>
      <c r="AU41" s="193"/>
      <c r="AV41" s="193"/>
      <c r="AW41" s="193"/>
      <c r="AX41" s="193"/>
      <c r="AY41" s="193"/>
      <c r="AZ41" s="193"/>
      <c r="BA41" s="193"/>
      <c r="BB41" s="193"/>
      <c r="BC41" s="193"/>
      <c r="BD41" s="193"/>
      <c r="BE41" s="193"/>
      <c r="BF41" s="193"/>
      <c r="BG41" s="193"/>
      <c r="BH41" s="193"/>
      <c r="BI41" s="193"/>
      <c r="BJ41" s="193"/>
      <c r="BK41" s="193"/>
      <c r="BL41" s="193"/>
      <c r="BM41" s="193"/>
      <c r="BN41" s="193"/>
      <c r="BO41" s="193"/>
      <c r="BP41" s="193"/>
      <c r="BQ41" s="193"/>
      <c r="BR41" s="193"/>
      <c r="BS41" s="193"/>
      <c r="BT41" s="193"/>
      <c r="BU41" s="193"/>
    </row>
    <row r="42" spans="2:73" ht="39.75" customHeight="1" x14ac:dyDescent="0.25">
      <c r="B42" s="193"/>
      <c r="C42" s="194">
        <v>36</v>
      </c>
      <c r="D42" s="195" t="s">
        <v>2406</v>
      </c>
      <c r="E42" s="195" t="s">
        <v>2407</v>
      </c>
      <c r="F42" s="195" t="s">
        <v>2408</v>
      </c>
      <c r="G42" s="195" t="s">
        <v>2409</v>
      </c>
      <c r="H42" s="195" t="s">
        <v>2406</v>
      </c>
      <c r="I42" s="195" t="s">
        <v>2407</v>
      </c>
      <c r="J42" s="195" t="s">
        <v>2410</v>
      </c>
      <c r="K42" s="195" t="s">
        <v>2411</v>
      </c>
      <c r="L42" s="195" t="s">
        <v>2412</v>
      </c>
      <c r="M42" s="199"/>
      <c r="N42" s="199"/>
      <c r="O42" s="199"/>
      <c r="P42" s="199" t="s">
        <v>1629</v>
      </c>
      <c r="Q42" s="199" t="s">
        <v>2413</v>
      </c>
      <c r="R42" s="197" t="s">
        <v>2414</v>
      </c>
      <c r="S42" s="199"/>
      <c r="T42" s="182" t="s">
        <v>1931</v>
      </c>
      <c r="U42" s="182" t="s">
        <v>2224</v>
      </c>
      <c r="V42" s="198" t="s">
        <v>2415</v>
      </c>
      <c r="W42" s="198" t="s">
        <v>2416</v>
      </c>
      <c r="X42" s="198" t="s">
        <v>2417</v>
      </c>
      <c r="Y42" s="199" t="s">
        <v>2338</v>
      </c>
      <c r="Z42" s="199" t="s">
        <v>2339</v>
      </c>
      <c r="AA42" s="199" t="s">
        <v>2340</v>
      </c>
      <c r="AB42" s="199" t="s">
        <v>2341</v>
      </c>
      <c r="AC42" s="200" t="s">
        <v>1746</v>
      </c>
      <c r="AD42" s="200" t="s">
        <v>1718</v>
      </c>
      <c r="AE42" s="200" t="s">
        <v>1644</v>
      </c>
      <c r="AF42" s="200" t="s">
        <v>1677</v>
      </c>
      <c r="AG42" s="200" t="s">
        <v>1857</v>
      </c>
      <c r="AH42" s="200" t="s">
        <v>1915</v>
      </c>
      <c r="AI42" s="200" t="s">
        <v>1648</v>
      </c>
      <c r="AJ42" s="15" t="s">
        <v>2418</v>
      </c>
      <c r="AK42" s="204" t="s">
        <v>1829</v>
      </c>
      <c r="AL42" s="204" t="s">
        <v>1830</v>
      </c>
      <c r="AM42" s="204" t="s">
        <v>1652</v>
      </c>
      <c r="AN42" s="204" t="s">
        <v>1653</v>
      </c>
      <c r="AO42" s="204" t="s">
        <v>1654</v>
      </c>
      <c r="AP42" s="204" t="s">
        <v>1655</v>
      </c>
      <c r="AQ42" s="205" t="s">
        <v>2419</v>
      </c>
      <c r="AR42" s="206" t="s">
        <v>1832</v>
      </c>
      <c r="AS42" s="193"/>
      <c r="AT42" s="193"/>
      <c r="AU42" s="193"/>
      <c r="AV42" s="193"/>
      <c r="AW42" s="193"/>
      <c r="AX42" s="193"/>
      <c r="AY42" s="193"/>
      <c r="AZ42" s="193"/>
      <c r="BA42" s="193"/>
      <c r="BB42" s="193"/>
      <c r="BC42" s="193"/>
      <c r="BD42" s="193"/>
      <c r="BE42" s="193"/>
      <c r="BF42" s="193"/>
      <c r="BG42" s="193"/>
      <c r="BH42" s="193"/>
      <c r="BI42" s="193"/>
      <c r="BJ42" s="193"/>
      <c r="BK42" s="193"/>
      <c r="BL42" s="193"/>
      <c r="BM42" s="193"/>
      <c r="BN42" s="193"/>
      <c r="BO42" s="193"/>
      <c r="BP42" s="193"/>
      <c r="BQ42" s="193"/>
      <c r="BR42" s="193"/>
      <c r="BS42" s="193"/>
      <c r="BT42" s="193"/>
      <c r="BU42" s="193"/>
    </row>
    <row r="43" spans="2:73" ht="39.75" customHeight="1" x14ac:dyDescent="0.25">
      <c r="B43" s="193"/>
      <c r="C43" s="194">
        <v>37</v>
      </c>
      <c r="D43" s="195" t="s">
        <v>2420</v>
      </c>
      <c r="E43" s="195" t="s">
        <v>2269</v>
      </c>
      <c r="F43" s="195" t="s">
        <v>2421</v>
      </c>
      <c r="G43" s="195" t="s">
        <v>2422</v>
      </c>
      <c r="H43" s="195" t="s">
        <v>2420</v>
      </c>
      <c r="I43" s="195" t="s">
        <v>2269</v>
      </c>
      <c r="J43" s="195" t="s">
        <v>2423</v>
      </c>
      <c r="K43" s="195" t="s">
        <v>2424</v>
      </c>
      <c r="L43" s="195" t="s">
        <v>2425</v>
      </c>
      <c r="M43" s="199"/>
      <c r="N43" s="199"/>
      <c r="O43" s="199"/>
      <c r="P43" s="199" t="s">
        <v>1629</v>
      </c>
      <c r="Q43" s="199" t="s">
        <v>2426</v>
      </c>
      <c r="R43" s="197" t="s">
        <v>2427</v>
      </c>
      <c r="S43" s="199"/>
      <c r="T43" s="182" t="s">
        <v>1695</v>
      </c>
      <c r="U43" s="182" t="s">
        <v>1633</v>
      </c>
      <c r="V43" s="198" t="s">
        <v>2428</v>
      </c>
      <c r="W43" s="198" t="s">
        <v>2429</v>
      </c>
      <c r="X43" s="198" t="s">
        <v>2430</v>
      </c>
      <c r="Y43" s="199" t="s">
        <v>1907</v>
      </c>
      <c r="Z43" s="199" t="s">
        <v>1908</v>
      </c>
      <c r="AA43" s="199" t="s">
        <v>1909</v>
      </c>
      <c r="AB43" s="199" t="s">
        <v>1800</v>
      </c>
      <c r="AC43" s="200" t="s">
        <v>1746</v>
      </c>
      <c r="AD43" s="200" t="s">
        <v>1718</v>
      </c>
      <c r="AE43" s="200" t="s">
        <v>1644</v>
      </c>
      <c r="AF43" s="200" t="s">
        <v>1645</v>
      </c>
      <c r="AG43" s="200" t="s">
        <v>1857</v>
      </c>
      <c r="AH43" s="200" t="s">
        <v>1863</v>
      </c>
      <c r="AI43" s="200" t="s">
        <v>1648</v>
      </c>
      <c r="AJ43" s="15" t="s">
        <v>2431</v>
      </c>
      <c r="AK43" s="201" t="s">
        <v>1913</v>
      </c>
      <c r="AL43" s="201" t="s">
        <v>1914</v>
      </c>
      <c r="AM43" s="201" t="s">
        <v>1652</v>
      </c>
      <c r="AN43" s="201" t="s">
        <v>1645</v>
      </c>
      <c r="AO43" s="201" t="s">
        <v>1654</v>
      </c>
      <c r="AP43" s="201" t="s">
        <v>1917</v>
      </c>
      <c r="AQ43" s="202" t="s">
        <v>2432</v>
      </c>
      <c r="AR43" s="203" t="s">
        <v>1919</v>
      </c>
      <c r="AS43" s="193"/>
      <c r="AT43" s="193"/>
      <c r="AU43" s="193"/>
      <c r="AV43" s="193"/>
      <c r="AW43" s="193"/>
      <c r="AX43" s="193"/>
      <c r="AY43" s="193"/>
      <c r="AZ43" s="193"/>
      <c r="BA43" s="193"/>
      <c r="BB43" s="193"/>
      <c r="BC43" s="193"/>
      <c r="BD43" s="193"/>
      <c r="BE43" s="193"/>
      <c r="BF43" s="193"/>
      <c r="BG43" s="193"/>
      <c r="BH43" s="193"/>
      <c r="BI43" s="193"/>
      <c r="BJ43" s="193"/>
      <c r="BK43" s="193"/>
      <c r="BL43" s="193"/>
      <c r="BM43" s="193"/>
      <c r="BN43" s="193"/>
      <c r="BO43" s="193"/>
      <c r="BP43" s="193"/>
      <c r="BQ43" s="193"/>
      <c r="BR43" s="193"/>
      <c r="BS43" s="193"/>
      <c r="BT43" s="193"/>
      <c r="BU43" s="193"/>
    </row>
    <row r="44" spans="2:73" ht="39.75" customHeight="1" x14ac:dyDescent="0.25">
      <c r="B44" s="193"/>
      <c r="C44" s="194">
        <v>38</v>
      </c>
      <c r="D44" s="195" t="s">
        <v>2433</v>
      </c>
      <c r="E44" s="195" t="s">
        <v>2434</v>
      </c>
      <c r="F44" s="195" t="s">
        <v>2435</v>
      </c>
      <c r="G44" s="195" t="s">
        <v>2436</v>
      </c>
      <c r="H44" s="195" t="s">
        <v>2437</v>
      </c>
      <c r="I44" s="195" t="s">
        <v>2434</v>
      </c>
      <c r="J44" s="195" t="s">
        <v>2438</v>
      </c>
      <c r="K44" s="195" t="s">
        <v>2439</v>
      </c>
      <c r="L44" s="195" t="s">
        <v>2440</v>
      </c>
      <c r="M44" s="199"/>
      <c r="N44" s="199"/>
      <c r="O44" s="199"/>
      <c r="P44" s="199" t="s">
        <v>2441</v>
      </c>
      <c r="Q44" s="199" t="s">
        <v>2442</v>
      </c>
      <c r="R44" s="197" t="s">
        <v>2443</v>
      </c>
      <c r="S44" s="199"/>
      <c r="T44" s="182" t="s">
        <v>1823</v>
      </c>
      <c r="U44" s="182" t="s">
        <v>2224</v>
      </c>
      <c r="V44" s="198" t="s">
        <v>2388</v>
      </c>
      <c r="W44" s="198" t="s">
        <v>2444</v>
      </c>
      <c r="X44" s="198" t="s">
        <v>2445</v>
      </c>
      <c r="Y44" s="199" t="s">
        <v>1907</v>
      </c>
      <c r="Z44" s="199" t="s">
        <v>2137</v>
      </c>
      <c r="AA44" s="199" t="s">
        <v>1909</v>
      </c>
      <c r="AB44" s="199" t="s">
        <v>1800</v>
      </c>
      <c r="AC44" s="200" t="s">
        <v>1746</v>
      </c>
      <c r="AD44" s="200" t="s">
        <v>1718</v>
      </c>
      <c r="AE44" s="200" t="s">
        <v>1644</v>
      </c>
      <c r="AF44" s="200" t="s">
        <v>1719</v>
      </c>
      <c r="AG44" s="200" t="s">
        <v>1646</v>
      </c>
      <c r="AH44" s="200" t="s">
        <v>1863</v>
      </c>
      <c r="AI44" s="200" t="s">
        <v>1648</v>
      </c>
      <c r="AJ44" s="15" t="s">
        <v>2446</v>
      </c>
      <c r="AK44" s="204" t="s">
        <v>1829</v>
      </c>
      <c r="AL44" s="204" t="s">
        <v>1830</v>
      </c>
      <c r="AM44" s="204" t="s">
        <v>1652</v>
      </c>
      <c r="AN44" s="204" t="s">
        <v>1653</v>
      </c>
      <c r="AO44" s="204" t="s">
        <v>1654</v>
      </c>
      <c r="AP44" s="204" t="s">
        <v>1655</v>
      </c>
      <c r="AQ44" s="205" t="s">
        <v>2447</v>
      </c>
      <c r="AR44" s="206" t="s">
        <v>1832</v>
      </c>
      <c r="AS44" s="193"/>
      <c r="AT44" s="193"/>
      <c r="AU44" s="193"/>
      <c r="AV44" s="193"/>
      <c r="AW44" s="193"/>
      <c r="AX44" s="193"/>
      <c r="AY44" s="193"/>
      <c r="AZ44" s="193"/>
      <c r="BA44" s="193"/>
      <c r="BB44" s="193"/>
      <c r="BC44" s="193"/>
      <c r="BD44" s="193"/>
      <c r="BE44" s="193"/>
      <c r="BF44" s="193"/>
      <c r="BG44" s="193"/>
      <c r="BH44" s="193"/>
      <c r="BI44" s="193"/>
      <c r="BJ44" s="193"/>
      <c r="BK44" s="193"/>
      <c r="BL44" s="193"/>
      <c r="BM44" s="193"/>
      <c r="BN44" s="193"/>
      <c r="BO44" s="193"/>
      <c r="BP44" s="193"/>
      <c r="BQ44" s="193"/>
      <c r="BR44" s="193"/>
      <c r="BS44" s="193"/>
      <c r="BT44" s="193"/>
      <c r="BU44" s="193"/>
    </row>
    <row r="45" spans="2:73" ht="39.75" customHeight="1" x14ac:dyDescent="0.25">
      <c r="B45" s="193"/>
      <c r="C45" s="194">
        <v>39</v>
      </c>
      <c r="D45" s="195" t="s">
        <v>2448</v>
      </c>
      <c r="E45" s="195" t="s">
        <v>1783</v>
      </c>
      <c r="F45" s="195" t="s">
        <v>2449</v>
      </c>
      <c r="G45" s="195" t="s">
        <v>2450</v>
      </c>
      <c r="H45" s="195" t="s">
        <v>2451</v>
      </c>
      <c r="I45" s="195" t="s">
        <v>2452</v>
      </c>
      <c r="J45" s="195" t="s">
        <v>2453</v>
      </c>
      <c r="K45" s="195" t="s">
        <v>2454</v>
      </c>
      <c r="L45" s="195" t="s">
        <v>2455</v>
      </c>
      <c r="M45" s="195" t="s">
        <v>1815</v>
      </c>
      <c r="N45" s="195" t="s">
        <v>2456</v>
      </c>
      <c r="O45" s="195" t="s">
        <v>2457</v>
      </c>
      <c r="P45" s="195" t="s">
        <v>2458</v>
      </c>
      <c r="Q45" s="195" t="s">
        <v>2459</v>
      </c>
      <c r="R45" s="197" t="s">
        <v>2460</v>
      </c>
      <c r="S45" s="199"/>
      <c r="T45" s="182" t="s">
        <v>2086</v>
      </c>
      <c r="U45" s="182" t="s">
        <v>2224</v>
      </c>
      <c r="V45" s="198" t="s">
        <v>2461</v>
      </c>
      <c r="W45" s="198" t="s">
        <v>2462</v>
      </c>
      <c r="X45" s="198" t="s">
        <v>2463</v>
      </c>
      <c r="Y45" s="199" t="s">
        <v>1907</v>
      </c>
      <c r="Z45" s="199" t="s">
        <v>1908</v>
      </c>
      <c r="AA45" s="199" t="s">
        <v>1909</v>
      </c>
      <c r="AB45" s="199" t="s">
        <v>1800</v>
      </c>
      <c r="AC45" s="200" t="s">
        <v>1746</v>
      </c>
      <c r="AD45" s="200" t="s">
        <v>1676</v>
      </c>
      <c r="AE45" s="200" t="s">
        <v>1644</v>
      </c>
      <c r="AF45" s="200" t="s">
        <v>1719</v>
      </c>
      <c r="AG45" s="200" t="s">
        <v>2464</v>
      </c>
      <c r="AH45" s="200" t="s">
        <v>1778</v>
      </c>
      <c r="AI45" s="200" t="s">
        <v>1648</v>
      </c>
      <c r="AJ45" s="15" t="s">
        <v>2465</v>
      </c>
      <c r="AK45" s="201" t="s">
        <v>2092</v>
      </c>
      <c r="AL45" s="201" t="s">
        <v>2093</v>
      </c>
      <c r="AM45" s="201" t="s">
        <v>1983</v>
      </c>
      <c r="AN45" s="201" t="s">
        <v>1653</v>
      </c>
      <c r="AO45" s="201" t="s">
        <v>1654</v>
      </c>
      <c r="AP45" s="201" t="s">
        <v>1655</v>
      </c>
      <c r="AQ45" s="202" t="s">
        <v>2466</v>
      </c>
      <c r="AR45" s="203" t="s">
        <v>2095</v>
      </c>
      <c r="AS45" s="193"/>
      <c r="AT45" s="193"/>
      <c r="AU45" s="193"/>
      <c r="AV45" s="193"/>
      <c r="AW45" s="193"/>
      <c r="AX45" s="193"/>
      <c r="AY45" s="193"/>
      <c r="AZ45" s="193"/>
      <c r="BA45" s="193"/>
      <c r="BB45" s="193"/>
      <c r="BC45" s="193"/>
      <c r="BD45" s="193"/>
      <c r="BE45" s="193"/>
      <c r="BF45" s="193"/>
      <c r="BG45" s="193"/>
      <c r="BH45" s="193"/>
      <c r="BI45" s="193"/>
      <c r="BJ45" s="193"/>
      <c r="BK45" s="193"/>
      <c r="BL45" s="193"/>
      <c r="BM45" s="193"/>
      <c r="BN45" s="193"/>
      <c r="BO45" s="193"/>
      <c r="BP45" s="193"/>
      <c r="BQ45" s="193"/>
      <c r="BR45" s="193"/>
      <c r="BS45" s="193"/>
      <c r="BT45" s="193"/>
      <c r="BU45" s="193"/>
    </row>
    <row r="46" spans="2:73" ht="39.75" customHeight="1" x14ac:dyDescent="0.25">
      <c r="B46" s="193"/>
      <c r="C46" s="194">
        <v>40</v>
      </c>
      <c r="D46" s="195" t="s">
        <v>2467</v>
      </c>
      <c r="E46" s="195" t="s">
        <v>2468</v>
      </c>
      <c r="F46" s="195" t="s">
        <v>1868</v>
      </c>
      <c r="G46" s="195" t="s">
        <v>2469</v>
      </c>
      <c r="H46" s="195" t="s">
        <v>2470</v>
      </c>
      <c r="I46" s="195" t="s">
        <v>2468</v>
      </c>
      <c r="J46" s="195" t="s">
        <v>2471</v>
      </c>
      <c r="K46" s="195" t="s">
        <v>2472</v>
      </c>
      <c r="L46" s="195" t="s">
        <v>2473</v>
      </c>
      <c r="M46" s="199"/>
      <c r="N46" s="199"/>
      <c r="O46" s="199"/>
      <c r="P46" s="199" t="s">
        <v>1629</v>
      </c>
      <c r="Q46" s="199" t="s">
        <v>2474</v>
      </c>
      <c r="R46" s="197" t="s">
        <v>2475</v>
      </c>
      <c r="S46" s="199"/>
      <c r="T46" s="182" t="s">
        <v>1633</v>
      </c>
      <c r="U46" s="182" t="s">
        <v>1694</v>
      </c>
      <c r="V46" s="198" t="s">
        <v>2476</v>
      </c>
      <c r="W46" s="198" t="s">
        <v>2477</v>
      </c>
      <c r="X46" s="198" t="s">
        <v>2478</v>
      </c>
      <c r="Y46" s="199" t="s">
        <v>1907</v>
      </c>
      <c r="Z46" s="199" t="s">
        <v>2137</v>
      </c>
      <c r="AA46" s="199" t="s">
        <v>1909</v>
      </c>
      <c r="AB46" s="199" t="s">
        <v>1800</v>
      </c>
      <c r="AC46" s="200" t="s">
        <v>1746</v>
      </c>
      <c r="AD46" s="200" t="s">
        <v>1718</v>
      </c>
      <c r="AE46" s="200" t="s">
        <v>1644</v>
      </c>
      <c r="AF46" s="200" t="s">
        <v>1653</v>
      </c>
      <c r="AG46" s="200" t="s">
        <v>1857</v>
      </c>
      <c r="AH46" s="200" t="s">
        <v>1677</v>
      </c>
      <c r="AI46" s="200" t="s">
        <v>1648</v>
      </c>
      <c r="AJ46" s="15" t="s">
        <v>2479</v>
      </c>
      <c r="AK46" s="204" t="s">
        <v>1913</v>
      </c>
      <c r="AL46" s="204" t="s">
        <v>1914</v>
      </c>
      <c r="AM46" s="204" t="s">
        <v>1652</v>
      </c>
      <c r="AN46" s="204" t="s">
        <v>1863</v>
      </c>
      <c r="AO46" s="204" t="s">
        <v>1654</v>
      </c>
      <c r="AP46" s="204" t="s">
        <v>1917</v>
      </c>
      <c r="AQ46" s="205" t="s">
        <v>2376</v>
      </c>
      <c r="AR46" s="206" t="s">
        <v>1919</v>
      </c>
      <c r="AS46" s="193"/>
      <c r="AT46" s="193"/>
      <c r="AU46" s="193"/>
      <c r="AV46" s="193"/>
      <c r="AW46" s="193"/>
      <c r="AX46" s="193"/>
      <c r="AY46" s="193"/>
      <c r="AZ46" s="193"/>
      <c r="BA46" s="193"/>
      <c r="BB46" s="193"/>
      <c r="BC46" s="193"/>
      <c r="BD46" s="193"/>
      <c r="BE46" s="193"/>
      <c r="BF46" s="193"/>
      <c r="BG46" s="193"/>
      <c r="BH46" s="193"/>
      <c r="BI46" s="193"/>
      <c r="BJ46" s="193"/>
      <c r="BK46" s="193"/>
      <c r="BL46" s="193"/>
      <c r="BM46" s="193"/>
      <c r="BN46" s="193"/>
      <c r="BO46" s="193"/>
      <c r="BP46" s="193"/>
      <c r="BQ46" s="193"/>
      <c r="BR46" s="193"/>
      <c r="BS46" s="193"/>
      <c r="BT46" s="193"/>
      <c r="BU46" s="193"/>
    </row>
    <row r="47" spans="2:73" ht="39.75" customHeight="1" x14ac:dyDescent="0.25">
      <c r="B47" s="193"/>
      <c r="C47" s="194">
        <v>41</v>
      </c>
      <c r="D47" s="195" t="s">
        <v>2480</v>
      </c>
      <c r="E47" s="195" t="s">
        <v>2481</v>
      </c>
      <c r="F47" s="195" t="s">
        <v>1868</v>
      </c>
      <c r="G47" s="195" t="s">
        <v>2482</v>
      </c>
      <c r="H47" s="195" t="s">
        <v>2480</v>
      </c>
      <c r="I47" s="195" t="s">
        <v>2481</v>
      </c>
      <c r="J47" s="195" t="s">
        <v>2483</v>
      </c>
      <c r="K47" s="195" t="s">
        <v>2195</v>
      </c>
      <c r="L47" s="195" t="s">
        <v>2484</v>
      </c>
      <c r="M47" s="199"/>
      <c r="N47" s="199"/>
      <c r="O47" s="199"/>
      <c r="P47" s="199" t="s">
        <v>2313</v>
      </c>
      <c r="Q47" s="199" t="s">
        <v>2485</v>
      </c>
      <c r="R47" s="197" t="s">
        <v>2486</v>
      </c>
      <c r="S47" s="199"/>
      <c r="T47" s="182" t="s">
        <v>1738</v>
      </c>
      <c r="U47" s="182" t="s">
        <v>1714</v>
      </c>
      <c r="V47" s="198" t="s">
        <v>1738</v>
      </c>
      <c r="W47" s="198" t="s">
        <v>2487</v>
      </c>
      <c r="X47" s="198" t="s">
        <v>2488</v>
      </c>
      <c r="Y47" s="184" t="s">
        <v>1907</v>
      </c>
      <c r="Z47" s="184" t="s">
        <v>1908</v>
      </c>
      <c r="AA47" s="184" t="s">
        <v>1909</v>
      </c>
      <c r="AB47" s="184" t="s">
        <v>1800</v>
      </c>
      <c r="AC47" s="200" t="s">
        <v>1746</v>
      </c>
      <c r="AD47" s="200" t="s">
        <v>1718</v>
      </c>
      <c r="AE47" s="200" t="s">
        <v>1644</v>
      </c>
      <c r="AF47" s="200" t="s">
        <v>2320</v>
      </c>
      <c r="AG47" s="200" t="s">
        <v>1777</v>
      </c>
      <c r="AH47" s="200" t="s">
        <v>1863</v>
      </c>
      <c r="AI47" s="200" t="s">
        <v>1648</v>
      </c>
      <c r="AJ47" s="15" t="s">
        <v>2489</v>
      </c>
      <c r="AK47" s="201" t="s">
        <v>2262</v>
      </c>
      <c r="AL47" s="201" t="s">
        <v>2263</v>
      </c>
      <c r="AM47" s="201" t="s">
        <v>1915</v>
      </c>
      <c r="AN47" s="201" t="s">
        <v>1863</v>
      </c>
      <c r="AO47" s="201" t="s">
        <v>1654</v>
      </c>
      <c r="AP47" s="201" t="s">
        <v>1754</v>
      </c>
      <c r="AQ47" s="202" t="s">
        <v>2490</v>
      </c>
      <c r="AR47" s="203" t="s">
        <v>1714</v>
      </c>
      <c r="AS47" s="193"/>
      <c r="AT47" s="193"/>
      <c r="AU47" s="193"/>
      <c r="AV47" s="193"/>
      <c r="AW47" s="193"/>
      <c r="AX47" s="193"/>
      <c r="AY47" s="193"/>
      <c r="AZ47" s="193"/>
      <c r="BA47" s="193"/>
      <c r="BB47" s="193"/>
      <c r="BC47" s="193"/>
      <c r="BD47" s="193"/>
      <c r="BE47" s="193"/>
      <c r="BF47" s="193"/>
      <c r="BG47" s="193"/>
      <c r="BH47" s="193"/>
      <c r="BI47" s="193"/>
      <c r="BJ47" s="193"/>
      <c r="BK47" s="193"/>
      <c r="BL47" s="193"/>
      <c r="BM47" s="193"/>
      <c r="BN47" s="193"/>
      <c r="BO47" s="193"/>
      <c r="BP47" s="193"/>
      <c r="BQ47" s="193"/>
      <c r="BR47" s="193"/>
      <c r="BS47" s="193"/>
      <c r="BT47" s="193"/>
      <c r="BU47" s="193"/>
    </row>
    <row r="48" spans="2:73" ht="39.75" customHeight="1" x14ac:dyDescent="0.25">
      <c r="B48" s="193"/>
      <c r="C48" s="194">
        <v>42</v>
      </c>
      <c r="D48" s="195" t="s">
        <v>2491</v>
      </c>
      <c r="E48" s="195" t="s">
        <v>2481</v>
      </c>
      <c r="F48" s="195" t="s">
        <v>1868</v>
      </c>
      <c r="G48" s="195" t="s">
        <v>2492</v>
      </c>
      <c r="H48" s="195" t="s">
        <v>2491</v>
      </c>
      <c r="I48" s="195" t="s">
        <v>2481</v>
      </c>
      <c r="J48" s="195" t="s">
        <v>2493</v>
      </c>
      <c r="K48" s="195" t="s">
        <v>2195</v>
      </c>
      <c r="L48" s="195" t="s">
        <v>2494</v>
      </c>
      <c r="M48" s="199"/>
      <c r="N48" s="199"/>
      <c r="O48" s="199"/>
      <c r="P48" s="199" t="s">
        <v>1629</v>
      </c>
      <c r="Q48" s="199" t="s">
        <v>2495</v>
      </c>
      <c r="R48" s="197" t="s">
        <v>2496</v>
      </c>
      <c r="S48" s="199"/>
      <c r="T48" s="182" t="s">
        <v>1633</v>
      </c>
      <c r="U48" s="182" t="s">
        <v>2497</v>
      </c>
      <c r="V48" s="198" t="s">
        <v>2498</v>
      </c>
      <c r="W48" s="198" t="s">
        <v>2499</v>
      </c>
      <c r="X48" s="198" t="s">
        <v>2500</v>
      </c>
      <c r="Y48" s="198" t="s">
        <v>1907</v>
      </c>
      <c r="Z48" s="199" t="s">
        <v>1908</v>
      </c>
      <c r="AA48" s="199" t="s">
        <v>1909</v>
      </c>
      <c r="AB48" s="199" t="s">
        <v>1800</v>
      </c>
      <c r="AC48" s="200" t="s">
        <v>1746</v>
      </c>
      <c r="AD48" s="200" t="s">
        <v>1718</v>
      </c>
      <c r="AE48" s="200" t="s">
        <v>1644</v>
      </c>
      <c r="AF48" s="200" t="s">
        <v>1699</v>
      </c>
      <c r="AG48" s="200" t="s">
        <v>1857</v>
      </c>
      <c r="AH48" s="200" t="s">
        <v>1863</v>
      </c>
      <c r="AI48" s="200" t="s">
        <v>1648</v>
      </c>
      <c r="AJ48" s="15" t="s">
        <v>2375</v>
      </c>
      <c r="AK48" s="204" t="s">
        <v>1913</v>
      </c>
      <c r="AL48" s="204" t="s">
        <v>1914</v>
      </c>
      <c r="AM48" s="204" t="s">
        <v>1652</v>
      </c>
      <c r="AN48" s="204" t="s">
        <v>1863</v>
      </c>
      <c r="AO48" s="204" t="s">
        <v>1654</v>
      </c>
      <c r="AP48" s="204" t="s">
        <v>1917</v>
      </c>
      <c r="AQ48" s="205" t="s">
        <v>2376</v>
      </c>
      <c r="AR48" s="206" t="s">
        <v>1919</v>
      </c>
      <c r="AS48" s="193"/>
      <c r="AT48" s="193"/>
      <c r="AU48" s="193"/>
      <c r="AV48" s="193"/>
      <c r="AW48" s="193"/>
      <c r="AX48" s="193"/>
      <c r="AY48" s="193"/>
      <c r="AZ48" s="193"/>
      <c r="BA48" s="193"/>
      <c r="BB48" s="193"/>
      <c r="BC48" s="193"/>
      <c r="BD48" s="193"/>
      <c r="BE48" s="193"/>
      <c r="BF48" s="193"/>
      <c r="BG48" s="193"/>
      <c r="BH48" s="193"/>
      <c r="BI48" s="193"/>
      <c r="BJ48" s="193"/>
      <c r="BK48" s="193"/>
      <c r="BL48" s="193"/>
      <c r="BM48" s="193"/>
      <c r="BN48" s="193"/>
      <c r="BO48" s="193"/>
      <c r="BP48" s="193"/>
      <c r="BQ48" s="193"/>
      <c r="BR48" s="193"/>
      <c r="BS48" s="193"/>
      <c r="BT48" s="193"/>
      <c r="BU48" s="193"/>
    </row>
    <row r="49" spans="2:73" ht="39.75" customHeight="1" x14ac:dyDescent="0.25">
      <c r="B49" s="193"/>
      <c r="C49" s="194">
        <v>43</v>
      </c>
      <c r="D49" s="195" t="s">
        <v>2501</v>
      </c>
      <c r="E49" s="195" t="s">
        <v>1811</v>
      </c>
      <c r="F49" s="195" t="s">
        <v>2167</v>
      </c>
      <c r="G49" s="195" t="s">
        <v>2502</v>
      </c>
      <c r="H49" s="195" t="s">
        <v>2501</v>
      </c>
      <c r="I49" s="195" t="s">
        <v>1811</v>
      </c>
      <c r="J49" s="195" t="s">
        <v>2503</v>
      </c>
      <c r="K49" s="195" t="s">
        <v>2504</v>
      </c>
      <c r="L49" s="195" t="s">
        <v>2505</v>
      </c>
      <c r="M49" s="182" t="s">
        <v>1815</v>
      </c>
      <c r="N49" s="182" t="s">
        <v>2456</v>
      </c>
      <c r="O49" s="182" t="s">
        <v>2502</v>
      </c>
      <c r="P49" s="182" t="s">
        <v>2313</v>
      </c>
      <c r="Q49" s="182" t="s">
        <v>2506</v>
      </c>
      <c r="R49" s="197" t="s">
        <v>2507</v>
      </c>
      <c r="S49" s="199"/>
      <c r="T49" s="182" t="s">
        <v>2224</v>
      </c>
      <c r="U49" s="182" t="s">
        <v>1823</v>
      </c>
      <c r="V49" s="198" t="s">
        <v>2508</v>
      </c>
      <c r="W49" s="198" t="s">
        <v>2509</v>
      </c>
      <c r="X49" s="198" t="s">
        <v>2510</v>
      </c>
      <c r="Y49" s="198" t="s">
        <v>1907</v>
      </c>
      <c r="Z49" s="199" t="s">
        <v>1908</v>
      </c>
      <c r="AA49" s="199" t="s">
        <v>1640</v>
      </c>
      <c r="AB49" s="199" t="s">
        <v>1641</v>
      </c>
      <c r="AC49" s="200" t="s">
        <v>1746</v>
      </c>
      <c r="AD49" s="200" t="s">
        <v>1718</v>
      </c>
      <c r="AE49" s="200" t="s">
        <v>1644</v>
      </c>
      <c r="AF49" s="200" t="s">
        <v>2320</v>
      </c>
      <c r="AG49" s="200" t="s">
        <v>1678</v>
      </c>
      <c r="AH49" s="200" t="s">
        <v>1652</v>
      </c>
      <c r="AI49" s="200" t="s">
        <v>1648</v>
      </c>
      <c r="AJ49" s="15" t="s">
        <v>2511</v>
      </c>
      <c r="AK49" s="201" t="s">
        <v>1829</v>
      </c>
      <c r="AL49" s="201" t="s">
        <v>1830</v>
      </c>
      <c r="AM49" s="201" t="s">
        <v>1915</v>
      </c>
      <c r="AN49" s="201" t="s">
        <v>1653</v>
      </c>
      <c r="AO49" s="201" t="s">
        <v>1654</v>
      </c>
      <c r="AP49" s="201" t="s">
        <v>1655</v>
      </c>
      <c r="AQ49" s="202" t="s">
        <v>2512</v>
      </c>
      <c r="AR49" s="203" t="s">
        <v>1832</v>
      </c>
      <c r="AS49" s="193"/>
      <c r="AT49" s="193"/>
      <c r="AU49" s="193"/>
      <c r="AV49" s="193"/>
      <c r="AW49" s="193"/>
      <c r="AX49" s="193"/>
      <c r="AY49" s="193"/>
      <c r="AZ49" s="193"/>
      <c r="BA49" s="193"/>
      <c r="BB49" s="193"/>
      <c r="BC49" s="193"/>
      <c r="BD49" s="193"/>
      <c r="BE49" s="193"/>
      <c r="BF49" s="193"/>
      <c r="BG49" s="193"/>
      <c r="BH49" s="193"/>
      <c r="BI49" s="193"/>
      <c r="BJ49" s="193"/>
      <c r="BK49" s="193"/>
      <c r="BL49" s="193"/>
      <c r="BM49" s="193"/>
      <c r="BN49" s="193"/>
      <c r="BO49" s="193"/>
      <c r="BP49" s="193"/>
      <c r="BQ49" s="193"/>
      <c r="BR49" s="193"/>
      <c r="BS49" s="193"/>
      <c r="BT49" s="193"/>
      <c r="BU49" s="193"/>
    </row>
    <row r="50" spans="2:73" ht="39.75" customHeight="1" x14ac:dyDescent="0.25">
      <c r="B50" s="193"/>
      <c r="C50" s="194">
        <v>44</v>
      </c>
      <c r="D50" s="195" t="s">
        <v>2513</v>
      </c>
      <c r="E50" s="195" t="s">
        <v>2514</v>
      </c>
      <c r="F50" s="195" t="s">
        <v>2074</v>
      </c>
      <c r="G50" s="195" t="s">
        <v>2515</v>
      </c>
      <c r="H50" s="195" t="s">
        <v>2513</v>
      </c>
      <c r="I50" s="195" t="s">
        <v>2516</v>
      </c>
      <c r="J50" s="195" t="s">
        <v>2517</v>
      </c>
      <c r="K50" s="195" t="s">
        <v>2518</v>
      </c>
      <c r="L50" s="195" t="s">
        <v>2368</v>
      </c>
      <c r="M50" s="182" t="s">
        <v>1815</v>
      </c>
      <c r="N50" s="182" t="s">
        <v>2519</v>
      </c>
      <c r="O50" s="182" t="s">
        <v>2520</v>
      </c>
      <c r="P50" s="182" t="s">
        <v>1690</v>
      </c>
      <c r="Q50" s="182" t="s">
        <v>2521</v>
      </c>
      <c r="R50" s="197" t="s">
        <v>2522</v>
      </c>
      <c r="S50" s="199"/>
      <c r="T50" s="182" t="s">
        <v>2523</v>
      </c>
      <c r="U50" s="182" t="s">
        <v>2371</v>
      </c>
      <c r="V50" s="198" t="s">
        <v>2524</v>
      </c>
      <c r="W50" s="198" t="s">
        <v>2525</v>
      </c>
      <c r="X50" s="198" t="s">
        <v>2526</v>
      </c>
      <c r="Y50" s="198" t="s">
        <v>1907</v>
      </c>
      <c r="Z50" s="199" t="s">
        <v>1908</v>
      </c>
      <c r="AA50" s="199" t="s">
        <v>1909</v>
      </c>
      <c r="AB50" s="199" t="s">
        <v>1800</v>
      </c>
      <c r="AC50" s="200" t="s">
        <v>1746</v>
      </c>
      <c r="AD50" s="200" t="s">
        <v>1718</v>
      </c>
      <c r="AE50" s="200" t="s">
        <v>1644</v>
      </c>
      <c r="AF50" s="200" t="s">
        <v>1653</v>
      </c>
      <c r="AG50" s="200" t="s">
        <v>1646</v>
      </c>
      <c r="AH50" s="200" t="s">
        <v>1863</v>
      </c>
      <c r="AI50" s="200" t="s">
        <v>1648</v>
      </c>
      <c r="AJ50" s="15" t="s">
        <v>2527</v>
      </c>
      <c r="AK50" s="204" t="s">
        <v>1913</v>
      </c>
      <c r="AL50" s="204" t="s">
        <v>1914</v>
      </c>
      <c r="AM50" s="204" t="s">
        <v>1652</v>
      </c>
      <c r="AN50" s="204" t="s">
        <v>1863</v>
      </c>
      <c r="AO50" s="204" t="s">
        <v>1654</v>
      </c>
      <c r="AP50" s="204" t="s">
        <v>1917</v>
      </c>
      <c r="AQ50" s="205" t="s">
        <v>2376</v>
      </c>
      <c r="AR50" s="206" t="s">
        <v>1919</v>
      </c>
      <c r="AS50" s="193"/>
      <c r="AT50" s="193"/>
      <c r="AU50" s="193"/>
      <c r="AV50" s="193"/>
      <c r="AW50" s="193"/>
      <c r="AX50" s="193"/>
      <c r="AY50" s="193"/>
      <c r="AZ50" s="193"/>
      <c r="BA50" s="193"/>
      <c r="BB50" s="193"/>
      <c r="BC50" s="193"/>
      <c r="BD50" s="193"/>
      <c r="BE50" s="193"/>
      <c r="BF50" s="193"/>
      <c r="BG50" s="193"/>
      <c r="BH50" s="193"/>
      <c r="BI50" s="193"/>
      <c r="BJ50" s="193"/>
      <c r="BK50" s="193"/>
      <c r="BL50" s="193"/>
      <c r="BM50" s="193"/>
      <c r="BN50" s="193"/>
      <c r="BO50" s="193"/>
      <c r="BP50" s="193"/>
      <c r="BQ50" s="193"/>
      <c r="BR50" s="193"/>
      <c r="BS50" s="193"/>
      <c r="BT50" s="193"/>
      <c r="BU50" s="193"/>
    </row>
    <row r="51" spans="2:73" ht="39.75" customHeight="1" x14ac:dyDescent="0.25">
      <c r="B51" s="193"/>
      <c r="C51" s="194">
        <v>45</v>
      </c>
      <c r="D51" s="195" t="s">
        <v>2528</v>
      </c>
      <c r="E51" s="195" t="s">
        <v>2529</v>
      </c>
      <c r="F51" s="195" t="s">
        <v>2530</v>
      </c>
      <c r="G51" s="195" t="s">
        <v>2531</v>
      </c>
      <c r="H51" s="195" t="s">
        <v>2528</v>
      </c>
      <c r="I51" s="195" t="s">
        <v>2532</v>
      </c>
      <c r="J51" s="195" t="s">
        <v>2533</v>
      </c>
      <c r="K51" s="195" t="s">
        <v>2534</v>
      </c>
      <c r="L51" s="195" t="s">
        <v>2535</v>
      </c>
      <c r="M51" s="199"/>
      <c r="N51" s="199"/>
      <c r="O51" s="199"/>
      <c r="P51" s="199" t="s">
        <v>1948</v>
      </c>
      <c r="Q51" s="199" t="s">
        <v>2536</v>
      </c>
      <c r="R51" s="197" t="s">
        <v>2537</v>
      </c>
      <c r="S51" s="199"/>
      <c r="T51" s="182" t="s">
        <v>2523</v>
      </c>
      <c r="U51" s="182" t="s">
        <v>1822</v>
      </c>
      <c r="V51" s="198" t="s">
        <v>2538</v>
      </c>
      <c r="W51" s="198" t="s">
        <v>2539</v>
      </c>
      <c r="X51" s="198" t="s">
        <v>2540</v>
      </c>
      <c r="Y51" s="198" t="s">
        <v>2338</v>
      </c>
      <c r="Z51" s="199" t="s">
        <v>2339</v>
      </c>
      <c r="AA51" s="199" t="s">
        <v>2340</v>
      </c>
      <c r="AB51" s="199" t="s">
        <v>2341</v>
      </c>
      <c r="AC51" s="200" t="s">
        <v>1746</v>
      </c>
      <c r="AD51" s="200" t="s">
        <v>1718</v>
      </c>
      <c r="AE51" s="200" t="s">
        <v>1644</v>
      </c>
      <c r="AF51" s="200" t="s">
        <v>1677</v>
      </c>
      <c r="AG51" s="200" t="s">
        <v>1678</v>
      </c>
      <c r="AH51" s="200" t="s">
        <v>1778</v>
      </c>
      <c r="AI51" s="200" t="s">
        <v>1648</v>
      </c>
      <c r="AJ51" s="15" t="s">
        <v>2541</v>
      </c>
      <c r="AK51" s="201" t="s">
        <v>1913</v>
      </c>
      <c r="AL51" s="201" t="s">
        <v>1914</v>
      </c>
      <c r="AM51" s="201" t="s">
        <v>1652</v>
      </c>
      <c r="AN51" s="201" t="s">
        <v>1753</v>
      </c>
      <c r="AO51" s="201" t="s">
        <v>1654</v>
      </c>
      <c r="AP51" s="201" t="s">
        <v>1917</v>
      </c>
      <c r="AQ51" s="202" t="s">
        <v>2542</v>
      </c>
      <c r="AR51" s="203" t="s">
        <v>1919</v>
      </c>
      <c r="AS51" s="193"/>
      <c r="AT51" s="193"/>
      <c r="AU51" s="193"/>
      <c r="AV51" s="193"/>
      <c r="AW51" s="193"/>
      <c r="AX51" s="193"/>
      <c r="AY51" s="193"/>
      <c r="AZ51" s="193"/>
      <c r="BA51" s="193"/>
      <c r="BB51" s="193"/>
      <c r="BC51" s="193"/>
      <c r="BD51" s="193"/>
      <c r="BE51" s="193"/>
      <c r="BF51" s="193"/>
      <c r="BG51" s="193"/>
      <c r="BH51" s="193"/>
      <c r="BI51" s="193"/>
      <c r="BJ51" s="193"/>
      <c r="BK51" s="193"/>
      <c r="BL51" s="193"/>
      <c r="BM51" s="193"/>
      <c r="BN51" s="193"/>
      <c r="BO51" s="193"/>
      <c r="BP51" s="193"/>
      <c r="BQ51" s="193"/>
      <c r="BR51" s="193"/>
      <c r="BS51" s="193"/>
      <c r="BT51" s="193"/>
      <c r="BU51" s="193"/>
    </row>
    <row r="52" spans="2:73" ht="39.75" customHeight="1" x14ac:dyDescent="0.25">
      <c r="B52" s="193"/>
      <c r="C52" s="194">
        <v>46</v>
      </c>
      <c r="D52" s="195" t="s">
        <v>2543</v>
      </c>
      <c r="E52" s="195" t="s">
        <v>2544</v>
      </c>
      <c r="F52" s="195" t="s">
        <v>2545</v>
      </c>
      <c r="G52" s="195" t="s">
        <v>2546</v>
      </c>
      <c r="H52" s="195" t="s">
        <v>2547</v>
      </c>
      <c r="I52" s="195" t="s">
        <v>2544</v>
      </c>
      <c r="J52" s="195" t="s">
        <v>2548</v>
      </c>
      <c r="K52" s="195" t="s">
        <v>2549</v>
      </c>
      <c r="L52" s="195" t="s">
        <v>2550</v>
      </c>
      <c r="M52" s="199"/>
      <c r="N52" s="199"/>
      <c r="O52" s="199"/>
      <c r="P52" s="199" t="s">
        <v>1629</v>
      </c>
      <c r="Q52" s="199" t="s">
        <v>2551</v>
      </c>
      <c r="R52" s="197" t="s">
        <v>2552</v>
      </c>
      <c r="S52" s="199"/>
      <c r="T52" s="182" t="s">
        <v>2523</v>
      </c>
      <c r="U52" s="182" t="s">
        <v>1931</v>
      </c>
      <c r="V52" s="198" t="s">
        <v>2553</v>
      </c>
      <c r="W52" s="198" t="s">
        <v>2554</v>
      </c>
      <c r="X52" s="198" t="s">
        <v>2555</v>
      </c>
      <c r="Y52" s="198" t="s">
        <v>1907</v>
      </c>
      <c r="Z52" s="199" t="s">
        <v>1908</v>
      </c>
      <c r="AA52" s="199" t="s">
        <v>1909</v>
      </c>
      <c r="AB52" s="199" t="s">
        <v>1800</v>
      </c>
      <c r="AC52" s="200" t="s">
        <v>1746</v>
      </c>
      <c r="AD52" s="200" t="s">
        <v>1718</v>
      </c>
      <c r="AE52" s="200" t="s">
        <v>1644</v>
      </c>
      <c r="AF52" s="200" t="s">
        <v>1645</v>
      </c>
      <c r="AG52" s="200" t="s">
        <v>1777</v>
      </c>
      <c r="AH52" s="200" t="s">
        <v>2187</v>
      </c>
      <c r="AI52" s="200" t="s">
        <v>1648</v>
      </c>
      <c r="AJ52" s="15" t="s">
        <v>2556</v>
      </c>
      <c r="AK52" s="204" t="s">
        <v>1913</v>
      </c>
      <c r="AL52" s="204" t="s">
        <v>1914</v>
      </c>
      <c r="AM52" s="204" t="s">
        <v>1652</v>
      </c>
      <c r="AN52" s="204" t="s">
        <v>1863</v>
      </c>
      <c r="AO52" s="204" t="s">
        <v>1654</v>
      </c>
      <c r="AP52" s="204" t="s">
        <v>1917</v>
      </c>
      <c r="AQ52" s="205" t="s">
        <v>2376</v>
      </c>
      <c r="AR52" s="206" t="s">
        <v>1919</v>
      </c>
      <c r="AS52" s="193"/>
      <c r="AT52" s="193"/>
      <c r="AU52" s="193"/>
      <c r="AV52" s="193"/>
      <c r="AW52" s="193"/>
      <c r="AX52" s="193"/>
      <c r="AY52" s="193"/>
      <c r="AZ52" s="193"/>
      <c r="BA52" s="193"/>
      <c r="BB52" s="193"/>
      <c r="BC52" s="193"/>
      <c r="BD52" s="193"/>
      <c r="BE52" s="193"/>
      <c r="BF52" s="193"/>
      <c r="BG52" s="193"/>
      <c r="BH52" s="193"/>
      <c r="BI52" s="193"/>
      <c r="BJ52" s="193"/>
      <c r="BK52" s="193"/>
      <c r="BL52" s="193"/>
      <c r="BM52" s="193"/>
      <c r="BN52" s="193"/>
      <c r="BO52" s="193"/>
      <c r="BP52" s="193"/>
      <c r="BQ52" s="193"/>
      <c r="BR52" s="193"/>
      <c r="BS52" s="193"/>
      <c r="BT52" s="193"/>
      <c r="BU52" s="193"/>
    </row>
    <row r="53" spans="2:73" ht="39.75" customHeight="1" x14ac:dyDescent="0.25">
      <c r="B53" s="193"/>
      <c r="C53" s="194">
        <v>47</v>
      </c>
      <c r="D53" s="195" t="s">
        <v>2557</v>
      </c>
      <c r="E53" s="195" t="s">
        <v>1726</v>
      </c>
      <c r="F53" s="195" t="s">
        <v>1921</v>
      </c>
      <c r="G53" s="195" t="s">
        <v>1925</v>
      </c>
      <c r="H53" s="195" t="s">
        <v>2558</v>
      </c>
      <c r="I53" s="195" t="s">
        <v>1726</v>
      </c>
      <c r="J53" s="195" t="s">
        <v>1923</v>
      </c>
      <c r="K53" s="195" t="s">
        <v>2559</v>
      </c>
      <c r="L53" s="195" t="s">
        <v>1925</v>
      </c>
      <c r="M53" s="195" t="s">
        <v>1790</v>
      </c>
      <c r="N53" s="196" t="s">
        <v>2560</v>
      </c>
      <c r="O53" s="195" t="s">
        <v>2561</v>
      </c>
      <c r="P53" s="195" t="s">
        <v>1948</v>
      </c>
      <c r="Q53" s="195" t="s">
        <v>2562</v>
      </c>
      <c r="R53" s="197" t="s">
        <v>2563</v>
      </c>
      <c r="S53" s="196"/>
      <c r="T53" s="182" t="s">
        <v>1737</v>
      </c>
      <c r="U53" s="182" t="s">
        <v>1931</v>
      </c>
      <c r="V53" s="198" t="s">
        <v>1797</v>
      </c>
      <c r="W53" s="198" t="s">
        <v>2564</v>
      </c>
      <c r="X53" s="198" t="s">
        <v>2565</v>
      </c>
      <c r="Y53" s="198" t="s">
        <v>1907</v>
      </c>
      <c r="Z53" s="199" t="s">
        <v>1908</v>
      </c>
      <c r="AA53" s="199" t="s">
        <v>1909</v>
      </c>
      <c r="AB53" s="199" t="s">
        <v>1800</v>
      </c>
      <c r="AC53" s="200" t="s">
        <v>1746</v>
      </c>
      <c r="AD53" s="200" t="s">
        <v>1718</v>
      </c>
      <c r="AE53" s="200" t="s">
        <v>1644</v>
      </c>
      <c r="AF53" s="200" t="s">
        <v>1981</v>
      </c>
      <c r="AG53" s="200" t="s">
        <v>1700</v>
      </c>
      <c r="AH53" s="200" t="s">
        <v>1677</v>
      </c>
      <c r="AI53" s="200" t="s">
        <v>1648</v>
      </c>
      <c r="AJ53" s="15" t="s">
        <v>2566</v>
      </c>
      <c r="AK53" s="201" t="s">
        <v>1802</v>
      </c>
      <c r="AL53" s="201" t="s">
        <v>1803</v>
      </c>
      <c r="AM53" s="201" t="s">
        <v>1652</v>
      </c>
      <c r="AN53" s="201" t="s">
        <v>1863</v>
      </c>
      <c r="AO53" s="201" t="s">
        <v>1654</v>
      </c>
      <c r="AP53" s="201" t="s">
        <v>1754</v>
      </c>
      <c r="AQ53" s="202" t="s">
        <v>2247</v>
      </c>
      <c r="AR53" s="203" t="s">
        <v>1805</v>
      </c>
      <c r="AS53" s="193"/>
      <c r="AT53" s="193"/>
      <c r="AU53" s="193"/>
      <c r="AV53" s="193"/>
      <c r="AW53" s="193"/>
      <c r="AX53" s="193"/>
      <c r="AY53" s="193"/>
      <c r="AZ53" s="193"/>
      <c r="BA53" s="193"/>
      <c r="BB53" s="193"/>
      <c r="BC53" s="193"/>
      <c r="BD53" s="193"/>
      <c r="BE53" s="193"/>
      <c r="BF53" s="193"/>
      <c r="BG53" s="193"/>
      <c r="BH53" s="193"/>
      <c r="BI53" s="193"/>
      <c r="BJ53" s="193"/>
      <c r="BK53" s="193"/>
      <c r="BL53" s="193"/>
      <c r="BM53" s="193"/>
      <c r="BN53" s="193"/>
      <c r="BO53" s="193"/>
      <c r="BP53" s="193"/>
      <c r="BQ53" s="193"/>
      <c r="BR53" s="193"/>
      <c r="BS53" s="193"/>
      <c r="BT53" s="193"/>
      <c r="BU53" s="193"/>
    </row>
    <row r="54" spans="2:73" ht="39.75" customHeight="1" x14ac:dyDescent="0.25">
      <c r="B54" s="193"/>
      <c r="C54" s="194">
        <v>48</v>
      </c>
      <c r="D54" s="195" t="s">
        <v>2567</v>
      </c>
      <c r="E54" s="195" t="s">
        <v>1783</v>
      </c>
      <c r="F54" s="195" t="s">
        <v>1784</v>
      </c>
      <c r="G54" s="195" t="s">
        <v>2568</v>
      </c>
      <c r="H54" s="195" t="s">
        <v>2567</v>
      </c>
      <c r="I54" s="195" t="s">
        <v>1726</v>
      </c>
      <c r="J54" s="195" t="s">
        <v>2569</v>
      </c>
      <c r="K54" s="195" t="s">
        <v>2195</v>
      </c>
      <c r="L54" s="195" t="s">
        <v>1991</v>
      </c>
      <c r="M54" s="195" t="s">
        <v>2570</v>
      </c>
      <c r="N54" s="195" t="s">
        <v>2571</v>
      </c>
      <c r="O54" s="195" t="s">
        <v>2572</v>
      </c>
      <c r="P54" s="195" t="s">
        <v>1629</v>
      </c>
      <c r="Q54" s="195" t="s">
        <v>2573</v>
      </c>
      <c r="R54" s="197" t="s">
        <v>2574</v>
      </c>
      <c r="S54" s="195"/>
      <c r="T54" s="182" t="s">
        <v>1822</v>
      </c>
      <c r="U54" s="182" t="s">
        <v>1931</v>
      </c>
      <c r="V54" s="198" t="s">
        <v>1822</v>
      </c>
      <c r="W54" s="198" t="s">
        <v>1931</v>
      </c>
      <c r="X54" s="198" t="s">
        <v>2575</v>
      </c>
      <c r="Y54" s="184" t="s">
        <v>1907</v>
      </c>
      <c r="Z54" s="184" t="s">
        <v>1908</v>
      </c>
      <c r="AA54" s="199" t="s">
        <v>1909</v>
      </c>
      <c r="AB54" s="199" t="s">
        <v>1800</v>
      </c>
      <c r="AC54" s="200" t="s">
        <v>1746</v>
      </c>
      <c r="AD54" s="200" t="s">
        <v>1718</v>
      </c>
      <c r="AE54" s="200" t="s">
        <v>1910</v>
      </c>
      <c r="AF54" s="200" t="s">
        <v>1653</v>
      </c>
      <c r="AG54" s="200" t="s">
        <v>1857</v>
      </c>
      <c r="AH54" s="200" t="s">
        <v>1677</v>
      </c>
      <c r="AI54" s="200" t="s">
        <v>1648</v>
      </c>
      <c r="AJ54" s="15" t="s">
        <v>2576</v>
      </c>
      <c r="AK54" s="204" t="s">
        <v>1913</v>
      </c>
      <c r="AL54" s="204" t="s">
        <v>1914</v>
      </c>
      <c r="AM54" s="204" t="s">
        <v>1652</v>
      </c>
      <c r="AN54" s="204" t="s">
        <v>1863</v>
      </c>
      <c r="AO54" s="204" t="s">
        <v>1937</v>
      </c>
      <c r="AP54" s="204" t="s">
        <v>1917</v>
      </c>
      <c r="AQ54" s="205" t="s">
        <v>1938</v>
      </c>
      <c r="AR54" s="206" t="s">
        <v>1919</v>
      </c>
      <c r="AS54" s="193"/>
      <c r="AT54" s="193"/>
      <c r="AU54" s="193"/>
      <c r="AV54" s="193"/>
      <c r="AW54" s="193"/>
      <c r="AX54" s="193"/>
      <c r="AY54" s="193"/>
      <c r="AZ54" s="193"/>
      <c r="BA54" s="193"/>
      <c r="BB54" s="193"/>
      <c r="BC54" s="193"/>
      <c r="BD54" s="193"/>
      <c r="BE54" s="193"/>
      <c r="BF54" s="193"/>
      <c r="BG54" s="193"/>
      <c r="BH54" s="193"/>
      <c r="BI54" s="193"/>
      <c r="BJ54" s="193"/>
      <c r="BK54" s="193"/>
      <c r="BL54" s="193"/>
      <c r="BM54" s="193"/>
      <c r="BN54" s="193"/>
      <c r="BO54" s="193"/>
      <c r="BP54" s="193"/>
      <c r="BQ54" s="193"/>
      <c r="BR54" s="193"/>
      <c r="BS54" s="193"/>
      <c r="BT54" s="193"/>
      <c r="BU54" s="193"/>
    </row>
    <row r="55" spans="2:73" ht="39.75" customHeight="1" x14ac:dyDescent="0.25">
      <c r="B55" s="193"/>
      <c r="C55" s="194">
        <v>49</v>
      </c>
      <c r="D55" s="195" t="s">
        <v>2577</v>
      </c>
      <c r="E55" s="195" t="s">
        <v>2544</v>
      </c>
      <c r="F55" s="195" t="s">
        <v>2578</v>
      </c>
      <c r="G55" s="195" t="s">
        <v>2579</v>
      </c>
      <c r="H55" s="195" t="s">
        <v>2580</v>
      </c>
      <c r="I55" s="195" t="s">
        <v>2581</v>
      </c>
      <c r="J55" s="195" t="s">
        <v>2582</v>
      </c>
      <c r="K55" s="195" t="s">
        <v>2583</v>
      </c>
      <c r="L55" s="195" t="s">
        <v>2196</v>
      </c>
      <c r="M55" s="195" t="s">
        <v>1896</v>
      </c>
      <c r="N55" s="195" t="s">
        <v>2584</v>
      </c>
      <c r="O55" s="195" t="s">
        <v>2585</v>
      </c>
      <c r="P55" s="195" t="s">
        <v>1629</v>
      </c>
      <c r="Q55" s="195" t="s">
        <v>2586</v>
      </c>
      <c r="R55" s="197" t="s">
        <v>2587</v>
      </c>
      <c r="S55" s="195"/>
      <c r="T55" s="182" t="s">
        <v>2279</v>
      </c>
      <c r="U55" s="182" t="s">
        <v>2371</v>
      </c>
      <c r="V55" s="198" t="s">
        <v>2279</v>
      </c>
      <c r="W55" s="198" t="s">
        <v>2371</v>
      </c>
      <c r="X55" s="198" t="s">
        <v>2588</v>
      </c>
      <c r="Y55" s="199" t="s">
        <v>1907</v>
      </c>
      <c r="Z55" s="199" t="s">
        <v>2137</v>
      </c>
      <c r="AA55" s="198" t="s">
        <v>1909</v>
      </c>
      <c r="AB55" s="198" t="s">
        <v>1800</v>
      </c>
      <c r="AC55" s="200" t="s">
        <v>1746</v>
      </c>
      <c r="AD55" s="200" t="s">
        <v>1718</v>
      </c>
      <c r="AE55" s="200" t="s">
        <v>1644</v>
      </c>
      <c r="AF55" s="200" t="s">
        <v>2320</v>
      </c>
      <c r="AG55" s="200" t="s">
        <v>1749</v>
      </c>
      <c r="AH55" s="200" t="s">
        <v>1863</v>
      </c>
      <c r="AI55" s="200" t="s">
        <v>1648</v>
      </c>
      <c r="AJ55" s="15" t="s">
        <v>2589</v>
      </c>
      <c r="AK55" s="201" t="s">
        <v>1913</v>
      </c>
      <c r="AL55" s="201" t="s">
        <v>1914</v>
      </c>
      <c r="AM55" s="201" t="s">
        <v>1652</v>
      </c>
      <c r="AN55" s="201" t="s">
        <v>1863</v>
      </c>
      <c r="AO55" s="201" t="s">
        <v>2590</v>
      </c>
      <c r="AP55" s="201" t="s">
        <v>1917</v>
      </c>
      <c r="AQ55" s="202" t="s">
        <v>2591</v>
      </c>
      <c r="AR55" s="203" t="s">
        <v>1919</v>
      </c>
      <c r="AS55" s="193"/>
      <c r="AT55" s="193"/>
      <c r="AU55" s="193"/>
      <c r="AV55" s="193"/>
      <c r="AW55" s="193"/>
      <c r="AX55" s="193"/>
      <c r="AY55" s="193"/>
      <c r="AZ55" s="193"/>
      <c r="BA55" s="193"/>
      <c r="BB55" s="193"/>
      <c r="BC55" s="193"/>
      <c r="BD55" s="193"/>
      <c r="BE55" s="193"/>
      <c r="BF55" s="193"/>
      <c r="BG55" s="193"/>
      <c r="BH55" s="193"/>
      <c r="BI55" s="193"/>
      <c r="BJ55" s="193"/>
      <c r="BK55" s="193"/>
      <c r="BL55" s="193"/>
      <c r="BM55" s="193"/>
      <c r="BN55" s="193"/>
      <c r="BO55" s="193"/>
      <c r="BP55" s="193"/>
      <c r="BQ55" s="193"/>
      <c r="BR55" s="193"/>
      <c r="BS55" s="193"/>
      <c r="BT55" s="193"/>
      <c r="BU55" s="193"/>
    </row>
    <row r="56" spans="2:73" ht="39.75" customHeight="1" x14ac:dyDescent="0.25">
      <c r="B56" s="193"/>
      <c r="C56" s="194">
        <v>50</v>
      </c>
      <c r="D56" s="195" t="s">
        <v>2592</v>
      </c>
      <c r="E56" s="195" t="s">
        <v>2593</v>
      </c>
      <c r="F56" s="195" t="s">
        <v>2545</v>
      </c>
      <c r="G56" s="195" t="s">
        <v>2594</v>
      </c>
      <c r="H56" s="195" t="s">
        <v>2592</v>
      </c>
      <c r="I56" s="195" t="s">
        <v>2593</v>
      </c>
      <c r="J56" s="195" t="s">
        <v>2548</v>
      </c>
      <c r="K56" s="195" t="s">
        <v>2595</v>
      </c>
      <c r="L56" s="195" t="s">
        <v>2596</v>
      </c>
      <c r="M56" s="195" t="s">
        <v>1790</v>
      </c>
      <c r="N56" s="195" t="s">
        <v>2597</v>
      </c>
      <c r="O56" s="195" t="s">
        <v>2598</v>
      </c>
      <c r="P56" s="195" t="s">
        <v>2599</v>
      </c>
      <c r="Q56" s="195" t="s">
        <v>2600</v>
      </c>
      <c r="R56" s="197" t="s">
        <v>2601</v>
      </c>
      <c r="S56" s="195"/>
      <c r="T56" s="182" t="s">
        <v>2602</v>
      </c>
      <c r="U56" s="182" t="s">
        <v>1931</v>
      </c>
      <c r="V56" s="198" t="s">
        <v>2602</v>
      </c>
      <c r="W56" s="198" t="s">
        <v>1931</v>
      </c>
      <c r="X56" s="198" t="s">
        <v>2603</v>
      </c>
      <c r="Y56" s="199" t="s">
        <v>1907</v>
      </c>
      <c r="Z56" s="199" t="s">
        <v>1908</v>
      </c>
      <c r="AA56" s="199" t="s">
        <v>1909</v>
      </c>
      <c r="AB56" s="199" t="s">
        <v>1800</v>
      </c>
      <c r="AC56" s="200" t="s">
        <v>1746</v>
      </c>
      <c r="AD56" s="200" t="s">
        <v>1718</v>
      </c>
      <c r="AE56" s="200" t="s">
        <v>1644</v>
      </c>
      <c r="AF56" s="200" t="s">
        <v>1885</v>
      </c>
      <c r="AG56" s="200" t="s">
        <v>1777</v>
      </c>
      <c r="AH56" s="200" t="s">
        <v>2604</v>
      </c>
      <c r="AI56" s="200" t="s">
        <v>1648</v>
      </c>
      <c r="AJ56" s="15" t="s">
        <v>2605</v>
      </c>
      <c r="AK56" s="204" t="s">
        <v>1860</v>
      </c>
      <c r="AL56" s="204" t="s">
        <v>1861</v>
      </c>
      <c r="AM56" s="204" t="s">
        <v>2245</v>
      </c>
      <c r="AN56" s="204" t="s">
        <v>1863</v>
      </c>
      <c r="AO56" s="204" t="s">
        <v>1654</v>
      </c>
      <c r="AP56" s="204" t="s">
        <v>1754</v>
      </c>
      <c r="AQ56" s="205" t="s">
        <v>2606</v>
      </c>
      <c r="AR56" s="206" t="s">
        <v>1865</v>
      </c>
      <c r="AS56" s="193"/>
      <c r="AT56" s="193"/>
      <c r="AU56" s="193"/>
      <c r="AV56" s="193"/>
      <c r="AW56" s="193"/>
      <c r="AX56" s="193"/>
      <c r="AY56" s="193"/>
      <c r="AZ56" s="193"/>
      <c r="BA56" s="193"/>
      <c r="BB56" s="193"/>
      <c r="BC56" s="193"/>
      <c r="BD56" s="193"/>
      <c r="BE56" s="193"/>
      <c r="BF56" s="193"/>
      <c r="BG56" s="193"/>
      <c r="BH56" s="193"/>
      <c r="BI56" s="193"/>
      <c r="BJ56" s="193"/>
      <c r="BK56" s="193"/>
      <c r="BL56" s="193"/>
      <c r="BM56" s="193"/>
      <c r="BN56" s="193"/>
      <c r="BO56" s="193"/>
      <c r="BP56" s="193"/>
      <c r="BQ56" s="193"/>
      <c r="BR56" s="193"/>
      <c r="BS56" s="193"/>
      <c r="BT56" s="193"/>
      <c r="BU56" s="193"/>
    </row>
    <row r="57" spans="2:73" ht="39.75" customHeight="1" x14ac:dyDescent="0.25">
      <c r="B57" s="193"/>
      <c r="C57" s="194">
        <v>51</v>
      </c>
      <c r="D57" s="195" t="s">
        <v>2607</v>
      </c>
      <c r="E57" s="195" t="s">
        <v>2362</v>
      </c>
      <c r="F57" s="195" t="s">
        <v>2608</v>
      </c>
      <c r="G57" s="195" t="s">
        <v>2609</v>
      </c>
      <c r="H57" s="199"/>
      <c r="I57" s="195" t="s">
        <v>2610</v>
      </c>
      <c r="J57" s="195" t="s">
        <v>2611</v>
      </c>
      <c r="K57" s="199"/>
      <c r="L57" s="199"/>
      <c r="M57" s="195" t="s">
        <v>1730</v>
      </c>
      <c r="N57" s="199"/>
      <c r="O57" s="195" t="s">
        <v>2612</v>
      </c>
      <c r="P57" s="195" t="s">
        <v>2599</v>
      </c>
      <c r="Q57" s="195" t="s">
        <v>2613</v>
      </c>
      <c r="R57" s="197" t="s">
        <v>2614</v>
      </c>
      <c r="S57" s="207"/>
      <c r="T57" s="182" t="s">
        <v>2602</v>
      </c>
      <c r="U57" s="182" t="s">
        <v>2224</v>
      </c>
      <c r="V57" s="198" t="s">
        <v>2602</v>
      </c>
      <c r="W57" s="198" t="s">
        <v>2224</v>
      </c>
      <c r="X57" s="198" t="s">
        <v>2615</v>
      </c>
      <c r="Y57" s="199" t="s">
        <v>1907</v>
      </c>
      <c r="Z57" s="199" t="s">
        <v>1908</v>
      </c>
      <c r="AA57" s="199" t="s">
        <v>1909</v>
      </c>
      <c r="AB57" s="199" t="s">
        <v>1800</v>
      </c>
      <c r="AC57" s="200" t="s">
        <v>1746</v>
      </c>
      <c r="AD57" s="200" t="s">
        <v>2616</v>
      </c>
      <c r="AE57" s="200" t="s">
        <v>1644</v>
      </c>
      <c r="AF57" s="200" t="s">
        <v>1677</v>
      </c>
      <c r="AG57" s="200" t="s">
        <v>1857</v>
      </c>
      <c r="AH57" s="200" t="s">
        <v>1778</v>
      </c>
      <c r="AI57" s="200" t="s">
        <v>1648</v>
      </c>
      <c r="AJ57" s="15" t="s">
        <v>2617</v>
      </c>
      <c r="AK57" s="201" t="s">
        <v>1860</v>
      </c>
      <c r="AL57" s="201" t="s">
        <v>1861</v>
      </c>
      <c r="AM57" s="201" t="s">
        <v>2245</v>
      </c>
      <c r="AN57" s="201" t="s">
        <v>1863</v>
      </c>
      <c r="AO57" s="201" t="s">
        <v>1654</v>
      </c>
      <c r="AP57" s="201" t="s">
        <v>1754</v>
      </c>
      <c r="AQ57" s="202" t="s">
        <v>2606</v>
      </c>
      <c r="AR57" s="203" t="s">
        <v>1865</v>
      </c>
      <c r="AS57" s="193"/>
      <c r="AT57" s="193"/>
      <c r="AU57" s="193"/>
      <c r="AV57" s="193"/>
      <c r="AW57" s="193"/>
      <c r="AX57" s="193"/>
      <c r="AY57" s="193"/>
      <c r="AZ57" s="193"/>
      <c r="BA57" s="193"/>
      <c r="BB57" s="193"/>
      <c r="BC57" s="193"/>
      <c r="BD57" s="193"/>
      <c r="BE57" s="193"/>
      <c r="BF57" s="193"/>
      <c r="BG57" s="193"/>
      <c r="BH57" s="193"/>
      <c r="BI57" s="193"/>
      <c r="BJ57" s="193"/>
      <c r="BK57" s="193"/>
      <c r="BL57" s="193"/>
      <c r="BM57" s="193"/>
      <c r="BN57" s="193"/>
      <c r="BO57" s="193"/>
      <c r="BP57" s="193"/>
      <c r="BQ57" s="193"/>
      <c r="BR57" s="193"/>
      <c r="BS57" s="193"/>
      <c r="BT57" s="193"/>
      <c r="BU57" s="193"/>
    </row>
    <row r="58" spans="2:73" ht="39.75" customHeight="1" x14ac:dyDescent="0.25">
      <c r="B58" s="193"/>
      <c r="C58" s="194">
        <v>52</v>
      </c>
      <c r="D58" s="195" t="s">
        <v>2618</v>
      </c>
      <c r="E58" s="195" t="s">
        <v>2619</v>
      </c>
      <c r="F58" s="195" t="s">
        <v>2620</v>
      </c>
      <c r="G58" s="195" t="s">
        <v>2621</v>
      </c>
      <c r="H58" s="195" t="s">
        <v>2622</v>
      </c>
      <c r="I58" s="195" t="s">
        <v>2623</v>
      </c>
      <c r="J58" s="195" t="s">
        <v>2624</v>
      </c>
      <c r="K58" s="195" t="s">
        <v>2625</v>
      </c>
      <c r="L58" s="195" t="s">
        <v>2626</v>
      </c>
      <c r="M58" s="195" t="s">
        <v>2627</v>
      </c>
      <c r="N58" s="195" t="s">
        <v>2628</v>
      </c>
      <c r="O58" s="195" t="s">
        <v>2629</v>
      </c>
      <c r="P58" s="195" t="s">
        <v>2630</v>
      </c>
      <c r="Q58" s="195" t="s">
        <v>2631</v>
      </c>
      <c r="R58" s="197" t="s">
        <v>2632</v>
      </c>
      <c r="S58" s="199"/>
      <c r="T58" s="182" t="s">
        <v>1738</v>
      </c>
      <c r="U58" s="182" t="s">
        <v>2224</v>
      </c>
      <c r="V58" s="198" t="s">
        <v>1738</v>
      </c>
      <c r="W58" s="198" t="s">
        <v>2224</v>
      </c>
      <c r="X58" s="198" t="s">
        <v>2633</v>
      </c>
      <c r="Y58" s="199" t="s">
        <v>1907</v>
      </c>
      <c r="Z58" s="199" t="s">
        <v>1908</v>
      </c>
      <c r="AA58" s="199" t="s">
        <v>1909</v>
      </c>
      <c r="AB58" s="199" t="s">
        <v>1800</v>
      </c>
      <c r="AC58" s="200" t="s">
        <v>1746</v>
      </c>
      <c r="AD58" s="200" t="s">
        <v>1718</v>
      </c>
      <c r="AE58" s="200" t="s">
        <v>1644</v>
      </c>
      <c r="AF58" s="200" t="s">
        <v>1699</v>
      </c>
      <c r="AG58" s="200" t="s">
        <v>1749</v>
      </c>
      <c r="AH58" s="200" t="s">
        <v>1778</v>
      </c>
      <c r="AI58" s="200" t="s">
        <v>1648</v>
      </c>
      <c r="AJ58" s="15" t="s">
        <v>2634</v>
      </c>
      <c r="AK58" s="204" t="s">
        <v>1829</v>
      </c>
      <c r="AL58" s="204" t="s">
        <v>1830</v>
      </c>
      <c r="AM58" s="204" t="s">
        <v>2245</v>
      </c>
      <c r="AN58" s="204" t="s">
        <v>1653</v>
      </c>
      <c r="AO58" s="204" t="s">
        <v>1957</v>
      </c>
      <c r="AP58" s="204" t="s">
        <v>1655</v>
      </c>
      <c r="AQ58" s="205" t="s">
        <v>2635</v>
      </c>
      <c r="AR58" s="206" t="s">
        <v>1832</v>
      </c>
      <c r="AS58" s="193"/>
      <c r="AT58" s="193"/>
      <c r="AU58" s="193"/>
      <c r="AV58" s="193"/>
      <c r="AW58" s="193"/>
      <c r="AX58" s="193"/>
      <c r="AY58" s="193"/>
      <c r="AZ58" s="193"/>
      <c r="BA58" s="193"/>
      <c r="BB58" s="193"/>
      <c r="BC58" s="193"/>
      <c r="BD58" s="193"/>
      <c r="BE58" s="193"/>
      <c r="BF58" s="193"/>
      <c r="BG58" s="193"/>
      <c r="BH58" s="193"/>
      <c r="BI58" s="193"/>
      <c r="BJ58" s="193"/>
      <c r="BK58" s="193"/>
      <c r="BL58" s="193"/>
      <c r="BM58" s="193"/>
      <c r="BN58" s="193"/>
      <c r="BO58" s="193"/>
      <c r="BP58" s="193"/>
      <c r="BQ58" s="193"/>
      <c r="BR58" s="193"/>
      <c r="BS58" s="193"/>
      <c r="BT58" s="193"/>
      <c r="BU58" s="193"/>
    </row>
    <row r="59" spans="2:73" ht="39.75" customHeight="1" x14ac:dyDescent="0.25">
      <c r="B59" s="193"/>
      <c r="C59" s="194">
        <v>53</v>
      </c>
      <c r="D59" s="195" t="s">
        <v>2636</v>
      </c>
      <c r="E59" s="195" t="s">
        <v>2637</v>
      </c>
      <c r="F59" s="195" t="s">
        <v>2638</v>
      </c>
      <c r="G59" s="195" t="s">
        <v>2639</v>
      </c>
      <c r="H59" s="195" t="s">
        <v>2640</v>
      </c>
      <c r="I59" s="195" t="s">
        <v>2641</v>
      </c>
      <c r="J59" s="195" t="s">
        <v>2642</v>
      </c>
      <c r="K59" s="195" t="s">
        <v>2643</v>
      </c>
      <c r="L59" s="195" t="s">
        <v>2644</v>
      </c>
      <c r="M59" s="195" t="s">
        <v>1790</v>
      </c>
      <c r="N59" s="195" t="s">
        <v>2645</v>
      </c>
      <c r="O59" s="195" t="s">
        <v>2646</v>
      </c>
      <c r="P59" s="195" t="s">
        <v>2313</v>
      </c>
      <c r="Q59" s="195" t="s">
        <v>2647</v>
      </c>
      <c r="R59" s="197" t="s">
        <v>2648</v>
      </c>
      <c r="S59" s="199"/>
      <c r="T59" s="182" t="s">
        <v>1931</v>
      </c>
      <c r="U59" s="182" t="s">
        <v>1714</v>
      </c>
      <c r="V59" s="198" t="s">
        <v>1931</v>
      </c>
      <c r="W59" s="198" t="s">
        <v>1714</v>
      </c>
      <c r="X59" s="198" t="s">
        <v>2649</v>
      </c>
      <c r="Y59" s="199" t="s">
        <v>1907</v>
      </c>
      <c r="Z59" s="199" t="s">
        <v>1908</v>
      </c>
      <c r="AA59" s="199" t="s">
        <v>1909</v>
      </c>
      <c r="AB59" s="199" t="s">
        <v>1800</v>
      </c>
      <c r="AC59" s="200" t="s">
        <v>1746</v>
      </c>
      <c r="AD59" s="200" t="s">
        <v>1718</v>
      </c>
      <c r="AE59" s="200" t="s">
        <v>1644</v>
      </c>
      <c r="AF59" s="200" t="s">
        <v>1677</v>
      </c>
      <c r="AG59" s="200" t="s">
        <v>1700</v>
      </c>
      <c r="AH59" s="200" t="s">
        <v>1778</v>
      </c>
      <c r="AI59" s="200" t="s">
        <v>1648</v>
      </c>
      <c r="AJ59" s="15" t="s">
        <v>2650</v>
      </c>
      <c r="AK59" s="201" t="s">
        <v>2262</v>
      </c>
      <c r="AL59" s="201" t="s">
        <v>2263</v>
      </c>
      <c r="AM59" s="201" t="s">
        <v>1915</v>
      </c>
      <c r="AN59" s="201" t="s">
        <v>1863</v>
      </c>
      <c r="AO59" s="201" t="s">
        <v>1654</v>
      </c>
      <c r="AP59" s="201" t="s">
        <v>1754</v>
      </c>
      <c r="AQ59" s="202" t="s">
        <v>2490</v>
      </c>
      <c r="AR59" s="203" t="s">
        <v>1714</v>
      </c>
      <c r="AS59" s="193"/>
      <c r="AT59" s="193"/>
      <c r="AU59" s="193"/>
      <c r="AV59" s="193"/>
      <c r="AW59" s="193"/>
      <c r="AX59" s="193"/>
      <c r="AY59" s="193"/>
      <c r="AZ59" s="193"/>
      <c r="BA59" s="193"/>
      <c r="BB59" s="193"/>
      <c r="BC59" s="193"/>
      <c r="BD59" s="193"/>
      <c r="BE59" s="193"/>
      <c r="BF59" s="193"/>
      <c r="BG59" s="193"/>
      <c r="BH59" s="193"/>
      <c r="BI59" s="193"/>
      <c r="BJ59" s="193"/>
      <c r="BK59" s="193"/>
      <c r="BL59" s="193"/>
      <c r="BM59" s="193"/>
      <c r="BN59" s="193"/>
      <c r="BO59" s="193"/>
      <c r="BP59" s="193"/>
      <c r="BQ59" s="193"/>
      <c r="BR59" s="193"/>
      <c r="BS59" s="193"/>
      <c r="BT59" s="193"/>
      <c r="BU59" s="193"/>
    </row>
    <row r="60" spans="2:73" ht="39.75" customHeight="1" x14ac:dyDescent="0.25">
      <c r="B60" s="193"/>
      <c r="C60" s="194">
        <v>54</v>
      </c>
      <c r="D60" s="195" t="s">
        <v>2651</v>
      </c>
      <c r="E60" s="195" t="s">
        <v>2652</v>
      </c>
      <c r="F60" s="195" t="s">
        <v>2545</v>
      </c>
      <c r="G60" s="195" t="s">
        <v>2596</v>
      </c>
      <c r="H60" s="195" t="s">
        <v>2651</v>
      </c>
      <c r="I60" s="195" t="s">
        <v>2653</v>
      </c>
      <c r="J60" s="195" t="s">
        <v>2654</v>
      </c>
      <c r="K60" s="195" t="s">
        <v>2655</v>
      </c>
      <c r="L60" s="195" t="s">
        <v>2656</v>
      </c>
      <c r="M60" s="195" t="s">
        <v>2657</v>
      </c>
      <c r="N60" s="195" t="s">
        <v>2658</v>
      </c>
      <c r="O60" s="195" t="s">
        <v>2659</v>
      </c>
      <c r="P60" s="195" t="s">
        <v>2660</v>
      </c>
      <c r="Q60" s="195" t="s">
        <v>2661</v>
      </c>
      <c r="R60" s="197" t="s">
        <v>2662</v>
      </c>
      <c r="S60" s="208"/>
      <c r="T60" s="182" t="s">
        <v>1738</v>
      </c>
      <c r="U60" s="182" t="s">
        <v>2224</v>
      </c>
      <c r="V60" s="198" t="s">
        <v>1738</v>
      </c>
      <c r="W60" s="198" t="s">
        <v>2224</v>
      </c>
      <c r="X60" s="198" t="s">
        <v>2663</v>
      </c>
      <c r="Y60" s="199" t="s">
        <v>1907</v>
      </c>
      <c r="Z60" s="199" t="s">
        <v>1908</v>
      </c>
      <c r="AA60" s="199" t="s">
        <v>1909</v>
      </c>
      <c r="AB60" s="199" t="s">
        <v>1800</v>
      </c>
      <c r="AC60" s="200" t="s">
        <v>1746</v>
      </c>
      <c r="AD60" s="200" t="s">
        <v>1718</v>
      </c>
      <c r="AE60" s="200" t="s">
        <v>1644</v>
      </c>
      <c r="AF60" s="200" t="s">
        <v>1981</v>
      </c>
      <c r="AG60" s="200" t="s">
        <v>1857</v>
      </c>
      <c r="AH60" s="200" t="s">
        <v>1778</v>
      </c>
      <c r="AI60" s="200" t="s">
        <v>1648</v>
      </c>
      <c r="AJ60" s="15" t="s">
        <v>2664</v>
      </c>
      <c r="AK60" s="204" t="s">
        <v>1829</v>
      </c>
      <c r="AL60" s="204" t="s">
        <v>1830</v>
      </c>
      <c r="AM60" s="204" t="s">
        <v>2245</v>
      </c>
      <c r="AN60" s="204" t="s">
        <v>1653</v>
      </c>
      <c r="AO60" s="204" t="s">
        <v>1654</v>
      </c>
      <c r="AP60" s="204" t="s">
        <v>1655</v>
      </c>
      <c r="AQ60" s="205" t="s">
        <v>2665</v>
      </c>
      <c r="AR60" s="206" t="s">
        <v>1832</v>
      </c>
      <c r="AS60" s="193"/>
      <c r="AT60" s="193"/>
      <c r="AU60" s="193"/>
      <c r="AV60" s="193"/>
      <c r="AW60" s="193"/>
      <c r="AX60" s="193"/>
      <c r="AY60" s="193"/>
      <c r="AZ60" s="193"/>
      <c r="BA60" s="193"/>
      <c r="BB60" s="193"/>
      <c r="BC60" s="193"/>
      <c r="BD60" s="193"/>
      <c r="BE60" s="193"/>
      <c r="BF60" s="193"/>
      <c r="BG60" s="193"/>
      <c r="BH60" s="193"/>
      <c r="BI60" s="193"/>
      <c r="BJ60" s="193"/>
      <c r="BK60" s="193"/>
      <c r="BL60" s="193"/>
      <c r="BM60" s="193"/>
      <c r="BN60" s="193"/>
      <c r="BO60" s="193"/>
      <c r="BP60" s="193"/>
      <c r="BQ60" s="193"/>
      <c r="BR60" s="193"/>
      <c r="BS60" s="193"/>
      <c r="BT60" s="193"/>
      <c r="BU60" s="193"/>
    </row>
    <row r="61" spans="2:73" ht="39.75" customHeight="1" x14ac:dyDescent="0.25">
      <c r="B61" s="193"/>
      <c r="C61" s="194">
        <v>55</v>
      </c>
      <c r="D61" s="195" t="s">
        <v>2666</v>
      </c>
      <c r="E61" s="195" t="s">
        <v>2667</v>
      </c>
      <c r="F61" s="195" t="s">
        <v>2668</v>
      </c>
      <c r="G61" s="195" t="s">
        <v>2669</v>
      </c>
      <c r="H61" s="195" t="s">
        <v>2670</v>
      </c>
      <c r="I61" s="195" t="s">
        <v>2671</v>
      </c>
      <c r="J61" s="195" t="s">
        <v>2672</v>
      </c>
      <c r="K61" s="195" t="s">
        <v>2673</v>
      </c>
      <c r="L61" s="195" t="s">
        <v>2674</v>
      </c>
      <c r="M61" s="195" t="s">
        <v>2675</v>
      </c>
      <c r="N61" s="195" t="s">
        <v>2676</v>
      </c>
      <c r="O61" s="195" t="s">
        <v>2677</v>
      </c>
      <c r="P61" s="195" t="s">
        <v>2630</v>
      </c>
      <c r="Q61" s="195" t="s">
        <v>2678</v>
      </c>
      <c r="R61" s="197" t="s">
        <v>2679</v>
      </c>
      <c r="S61" s="199"/>
      <c r="T61" s="182" t="s">
        <v>2680</v>
      </c>
      <c r="U61" s="182" t="s">
        <v>2681</v>
      </c>
      <c r="V61" s="198" t="s">
        <v>2680</v>
      </c>
      <c r="W61" s="198" t="s">
        <v>2681</v>
      </c>
      <c r="X61" s="198" t="s">
        <v>2682</v>
      </c>
      <c r="Y61" s="199" t="s">
        <v>1907</v>
      </c>
      <c r="Z61" s="199" t="s">
        <v>1908</v>
      </c>
      <c r="AA61" s="199" t="s">
        <v>1909</v>
      </c>
      <c r="AB61" s="199" t="s">
        <v>1800</v>
      </c>
      <c r="AC61" s="200" t="s">
        <v>1746</v>
      </c>
      <c r="AD61" s="200" t="s">
        <v>1718</v>
      </c>
      <c r="AE61" s="200" t="s">
        <v>1644</v>
      </c>
      <c r="AF61" s="200" t="s">
        <v>1748</v>
      </c>
      <c r="AG61" s="200" t="s">
        <v>1857</v>
      </c>
      <c r="AH61" s="200" t="s">
        <v>1778</v>
      </c>
      <c r="AI61" s="200" t="s">
        <v>1648</v>
      </c>
      <c r="AJ61" s="15" t="s">
        <v>2683</v>
      </c>
      <c r="AK61" s="201" t="s">
        <v>1913</v>
      </c>
      <c r="AL61" s="201" t="s">
        <v>1914</v>
      </c>
      <c r="AM61" s="201" t="s">
        <v>2245</v>
      </c>
      <c r="AN61" s="201" t="s">
        <v>1863</v>
      </c>
      <c r="AO61" s="201" t="s">
        <v>1654</v>
      </c>
      <c r="AP61" s="201" t="s">
        <v>1917</v>
      </c>
      <c r="AQ61" s="202" t="s">
        <v>2684</v>
      </c>
      <c r="AR61" s="203" t="s">
        <v>1919</v>
      </c>
      <c r="AS61" s="193"/>
      <c r="AT61" s="193"/>
      <c r="AU61" s="193"/>
      <c r="AV61" s="193"/>
      <c r="AW61" s="193"/>
      <c r="AX61" s="193"/>
      <c r="AY61" s="193"/>
      <c r="AZ61" s="193"/>
      <c r="BA61" s="193"/>
      <c r="BB61" s="193"/>
      <c r="BC61" s="193"/>
      <c r="BD61" s="193"/>
      <c r="BE61" s="193"/>
      <c r="BF61" s="193"/>
      <c r="BG61" s="193"/>
      <c r="BH61" s="193"/>
      <c r="BI61" s="193"/>
      <c r="BJ61" s="193"/>
      <c r="BK61" s="193"/>
      <c r="BL61" s="193"/>
      <c r="BM61" s="193"/>
      <c r="BN61" s="193"/>
      <c r="BO61" s="193"/>
      <c r="BP61" s="193"/>
      <c r="BQ61" s="193"/>
      <c r="BR61" s="193"/>
      <c r="BS61" s="193"/>
      <c r="BT61" s="193"/>
      <c r="BU61" s="193"/>
    </row>
    <row r="62" spans="2:73" ht="39.75" customHeight="1" x14ac:dyDescent="0.25">
      <c r="B62" s="193"/>
      <c r="C62" s="194">
        <v>56</v>
      </c>
      <c r="D62" s="195" t="s">
        <v>2685</v>
      </c>
      <c r="E62" s="195" t="s">
        <v>2686</v>
      </c>
      <c r="F62" s="195" t="s">
        <v>2687</v>
      </c>
      <c r="G62" s="195" t="s">
        <v>2688</v>
      </c>
      <c r="H62" s="195" t="s">
        <v>2685</v>
      </c>
      <c r="I62" s="195" t="s">
        <v>2686</v>
      </c>
      <c r="J62" s="195" t="s">
        <v>2689</v>
      </c>
      <c r="K62" s="195" t="s">
        <v>2690</v>
      </c>
      <c r="L62" s="195" t="s">
        <v>2494</v>
      </c>
      <c r="M62" s="195" t="s">
        <v>1790</v>
      </c>
      <c r="N62" s="195" t="s">
        <v>2691</v>
      </c>
      <c r="O62" s="195" t="s">
        <v>2692</v>
      </c>
      <c r="P62" s="195" t="s">
        <v>2693</v>
      </c>
      <c r="Q62" s="195" t="s">
        <v>2694</v>
      </c>
      <c r="R62" s="197" t="s">
        <v>2695</v>
      </c>
      <c r="S62" s="208"/>
      <c r="T62" s="182" t="s">
        <v>2602</v>
      </c>
      <c r="U62" s="182" t="s">
        <v>2696</v>
      </c>
      <c r="V62" s="198" t="s">
        <v>2602</v>
      </c>
      <c r="W62" s="198" t="s">
        <v>2696</v>
      </c>
      <c r="X62" s="198" t="s">
        <v>2697</v>
      </c>
      <c r="Y62" s="199" t="s">
        <v>1907</v>
      </c>
      <c r="Z62" s="199" t="s">
        <v>1908</v>
      </c>
      <c r="AA62" s="199" t="s">
        <v>1909</v>
      </c>
      <c r="AB62" s="199" t="s">
        <v>1800</v>
      </c>
      <c r="AC62" s="200" t="s">
        <v>1856</v>
      </c>
      <c r="AD62" s="200" t="s">
        <v>2616</v>
      </c>
      <c r="AE62" s="200" t="s">
        <v>1644</v>
      </c>
      <c r="AF62" s="200" t="s">
        <v>1677</v>
      </c>
      <c r="AG62" s="200" t="s">
        <v>1857</v>
      </c>
      <c r="AH62" s="200" t="s">
        <v>1858</v>
      </c>
      <c r="AI62" s="200" t="s">
        <v>1648</v>
      </c>
      <c r="AJ62" s="15" t="s">
        <v>2698</v>
      </c>
      <c r="AK62" s="204" t="s">
        <v>1860</v>
      </c>
      <c r="AL62" s="204" t="s">
        <v>1861</v>
      </c>
      <c r="AM62" s="204" t="s">
        <v>1652</v>
      </c>
      <c r="AN62" s="204" t="s">
        <v>1863</v>
      </c>
      <c r="AO62" s="204" t="s">
        <v>1654</v>
      </c>
      <c r="AP62" s="204" t="s">
        <v>1754</v>
      </c>
      <c r="AQ62" s="205" t="s">
        <v>2699</v>
      </c>
      <c r="AR62" s="206" t="s">
        <v>1865</v>
      </c>
      <c r="AS62" s="193"/>
      <c r="AT62" s="193"/>
      <c r="AU62" s="193"/>
      <c r="AV62" s="193"/>
      <c r="AW62" s="193"/>
      <c r="AX62" s="193"/>
      <c r="AY62" s="193"/>
      <c r="AZ62" s="193"/>
      <c r="BA62" s="193"/>
      <c r="BB62" s="193"/>
      <c r="BC62" s="193"/>
      <c r="BD62" s="193"/>
      <c r="BE62" s="193"/>
      <c r="BF62" s="193"/>
      <c r="BG62" s="193"/>
      <c r="BH62" s="193"/>
      <c r="BI62" s="193"/>
      <c r="BJ62" s="193"/>
      <c r="BK62" s="193"/>
      <c r="BL62" s="193"/>
      <c r="BM62" s="193"/>
      <c r="BN62" s="193"/>
      <c r="BO62" s="193"/>
      <c r="BP62" s="193"/>
      <c r="BQ62" s="193"/>
      <c r="BR62" s="193"/>
      <c r="BS62" s="193"/>
      <c r="BT62" s="193"/>
      <c r="BU62" s="193"/>
    </row>
    <row r="63" spans="2:73" ht="39.75" customHeight="1" x14ac:dyDescent="0.25">
      <c r="B63" s="193"/>
      <c r="C63" s="194">
        <v>57</v>
      </c>
      <c r="D63" s="195" t="s">
        <v>2700</v>
      </c>
      <c r="E63" s="195" t="s">
        <v>2701</v>
      </c>
      <c r="F63" s="195" t="s">
        <v>2702</v>
      </c>
      <c r="G63" s="195" t="s">
        <v>2703</v>
      </c>
      <c r="H63" s="195" t="s">
        <v>2700</v>
      </c>
      <c r="I63" s="195" t="s">
        <v>2704</v>
      </c>
      <c r="J63" s="195" t="s">
        <v>2705</v>
      </c>
      <c r="K63" s="195" t="s">
        <v>2706</v>
      </c>
      <c r="L63" s="195" t="s">
        <v>2041</v>
      </c>
      <c r="M63" s="195" t="s">
        <v>2707</v>
      </c>
      <c r="N63" s="195" t="s">
        <v>2708</v>
      </c>
      <c r="O63" s="195" t="s">
        <v>2709</v>
      </c>
      <c r="P63" s="195" t="s">
        <v>2693</v>
      </c>
      <c r="Q63" s="195" t="s">
        <v>2710</v>
      </c>
      <c r="R63" s="197" t="s">
        <v>2711</v>
      </c>
      <c r="S63" s="199"/>
      <c r="T63" s="182" t="s">
        <v>2696</v>
      </c>
      <c r="U63" s="182" t="s">
        <v>2224</v>
      </c>
      <c r="V63" s="198" t="s">
        <v>2696</v>
      </c>
      <c r="W63" s="198" t="s">
        <v>2224</v>
      </c>
      <c r="X63" s="198" t="s">
        <v>2712</v>
      </c>
      <c r="Y63" s="199" t="s">
        <v>1907</v>
      </c>
      <c r="Z63" s="199" t="s">
        <v>1908</v>
      </c>
      <c r="AA63" s="199" t="s">
        <v>1909</v>
      </c>
      <c r="AB63" s="199" t="s">
        <v>1800</v>
      </c>
      <c r="AC63" s="200" t="s">
        <v>1746</v>
      </c>
      <c r="AD63" s="200" t="s">
        <v>2713</v>
      </c>
      <c r="AE63" s="200" t="s">
        <v>1644</v>
      </c>
      <c r="AF63" s="200" t="s">
        <v>1719</v>
      </c>
      <c r="AG63" s="200" t="s">
        <v>2714</v>
      </c>
      <c r="AH63" s="200" t="s">
        <v>1863</v>
      </c>
      <c r="AI63" s="200" t="s">
        <v>1648</v>
      </c>
      <c r="AJ63" s="15" t="s">
        <v>2715</v>
      </c>
      <c r="AK63" s="201" t="s">
        <v>1860</v>
      </c>
      <c r="AL63" s="201" t="s">
        <v>1861</v>
      </c>
      <c r="AM63" s="201" t="s">
        <v>1652</v>
      </c>
      <c r="AN63" s="201" t="s">
        <v>1863</v>
      </c>
      <c r="AO63" s="201" t="s">
        <v>1654</v>
      </c>
      <c r="AP63" s="201" t="s">
        <v>1754</v>
      </c>
      <c r="AQ63" s="202" t="s">
        <v>2699</v>
      </c>
      <c r="AR63" s="203" t="s">
        <v>1865</v>
      </c>
      <c r="AS63" s="193"/>
      <c r="AT63" s="193"/>
      <c r="AU63" s="193"/>
      <c r="AV63" s="193"/>
      <c r="AW63" s="193"/>
      <c r="AX63" s="193"/>
      <c r="AY63" s="193"/>
      <c r="AZ63" s="193"/>
      <c r="BA63" s="193"/>
      <c r="BB63" s="193"/>
      <c r="BC63" s="193"/>
      <c r="BD63" s="193"/>
      <c r="BE63" s="193"/>
      <c r="BF63" s="193"/>
      <c r="BG63" s="193"/>
      <c r="BH63" s="193"/>
      <c r="BI63" s="193"/>
      <c r="BJ63" s="193"/>
      <c r="BK63" s="193"/>
      <c r="BL63" s="193"/>
      <c r="BM63" s="193"/>
      <c r="BN63" s="193"/>
      <c r="BO63" s="193"/>
      <c r="BP63" s="193"/>
      <c r="BQ63" s="193"/>
      <c r="BR63" s="193"/>
      <c r="BS63" s="193"/>
      <c r="BT63" s="193"/>
      <c r="BU63" s="193"/>
    </row>
    <row r="64" spans="2:73" ht="39.75" customHeight="1" x14ac:dyDescent="0.25">
      <c r="B64" s="193"/>
      <c r="C64" s="194">
        <v>58</v>
      </c>
      <c r="D64" s="195" t="s">
        <v>2716</v>
      </c>
      <c r="E64" s="195" t="s">
        <v>2701</v>
      </c>
      <c r="F64" s="195" t="s">
        <v>2717</v>
      </c>
      <c r="G64" s="195" t="s">
        <v>2718</v>
      </c>
      <c r="H64" s="195" t="s">
        <v>2716</v>
      </c>
      <c r="I64" s="195" t="s">
        <v>1703</v>
      </c>
      <c r="J64" s="195" t="s">
        <v>2719</v>
      </c>
      <c r="K64" s="195" t="s">
        <v>2720</v>
      </c>
      <c r="L64" s="195" t="s">
        <v>2382</v>
      </c>
      <c r="M64" s="195" t="s">
        <v>2707</v>
      </c>
      <c r="N64" s="195" t="s">
        <v>2721</v>
      </c>
      <c r="O64" s="195" t="s">
        <v>2722</v>
      </c>
      <c r="P64" s="195" t="s">
        <v>2693</v>
      </c>
      <c r="Q64" s="195" t="s">
        <v>2723</v>
      </c>
      <c r="R64" s="197" t="s">
        <v>2724</v>
      </c>
      <c r="S64" s="208"/>
      <c r="T64" s="182" t="s">
        <v>2696</v>
      </c>
      <c r="U64" s="182" t="s">
        <v>2725</v>
      </c>
      <c r="V64" s="198" t="s">
        <v>2696</v>
      </c>
      <c r="W64" s="198" t="s">
        <v>2725</v>
      </c>
      <c r="X64" s="198" t="s">
        <v>2726</v>
      </c>
      <c r="Y64" s="199" t="s">
        <v>1907</v>
      </c>
      <c r="Z64" s="199" t="s">
        <v>1908</v>
      </c>
      <c r="AA64" s="199" t="s">
        <v>1909</v>
      </c>
      <c r="AB64" s="199" t="s">
        <v>1800</v>
      </c>
      <c r="AC64" s="200" t="s">
        <v>1746</v>
      </c>
      <c r="AD64" s="200" t="s">
        <v>2713</v>
      </c>
      <c r="AE64" s="200" t="s">
        <v>1644</v>
      </c>
      <c r="AF64" s="200" t="s">
        <v>1677</v>
      </c>
      <c r="AG64" s="200" t="s">
        <v>1857</v>
      </c>
      <c r="AH64" s="200" t="s">
        <v>1677</v>
      </c>
      <c r="AI64" s="200" t="s">
        <v>1648</v>
      </c>
      <c r="AJ64" s="15" t="s">
        <v>2727</v>
      </c>
      <c r="AK64" s="204" t="s">
        <v>1860</v>
      </c>
      <c r="AL64" s="204" t="s">
        <v>1861</v>
      </c>
      <c r="AM64" s="204" t="s">
        <v>1652</v>
      </c>
      <c r="AN64" s="204" t="s">
        <v>1863</v>
      </c>
      <c r="AO64" s="204" t="s">
        <v>1654</v>
      </c>
      <c r="AP64" s="204" t="s">
        <v>1754</v>
      </c>
      <c r="AQ64" s="205" t="s">
        <v>2699</v>
      </c>
      <c r="AR64" s="206" t="s">
        <v>1865</v>
      </c>
      <c r="AS64" s="193"/>
      <c r="AT64" s="193"/>
      <c r="AU64" s="193"/>
      <c r="AV64" s="193"/>
      <c r="AW64" s="193"/>
      <c r="AX64" s="193"/>
      <c r="AY64" s="193"/>
      <c r="AZ64" s="193"/>
      <c r="BA64" s="193"/>
      <c r="BB64" s="193"/>
      <c r="BC64" s="193"/>
      <c r="BD64" s="193"/>
      <c r="BE64" s="193"/>
      <c r="BF64" s="193"/>
      <c r="BG64" s="193"/>
      <c r="BH64" s="193"/>
      <c r="BI64" s="193"/>
      <c r="BJ64" s="193"/>
      <c r="BK64" s="193"/>
      <c r="BL64" s="193"/>
      <c r="BM64" s="193"/>
      <c r="BN64" s="193"/>
      <c r="BO64" s="193"/>
      <c r="BP64" s="193"/>
      <c r="BQ64" s="193"/>
      <c r="BR64" s="193"/>
      <c r="BS64" s="193"/>
      <c r="BT64" s="193"/>
      <c r="BU64" s="193"/>
    </row>
    <row r="65" spans="2:73" ht="39.75" customHeight="1" x14ac:dyDescent="0.25">
      <c r="B65" s="193"/>
      <c r="C65" s="194">
        <v>59</v>
      </c>
      <c r="D65" s="195" t="s">
        <v>2728</v>
      </c>
      <c r="E65" s="195" t="s">
        <v>2729</v>
      </c>
      <c r="F65" s="195" t="s">
        <v>2730</v>
      </c>
      <c r="G65" s="195" t="s">
        <v>2731</v>
      </c>
      <c r="H65" s="195" t="s">
        <v>2728</v>
      </c>
      <c r="I65" s="195" t="s">
        <v>2732</v>
      </c>
      <c r="J65" s="195" t="s">
        <v>2733</v>
      </c>
      <c r="K65" s="195" t="s">
        <v>2734</v>
      </c>
      <c r="L65" s="195" t="s">
        <v>1190</v>
      </c>
      <c r="M65" s="195" t="s">
        <v>2735</v>
      </c>
      <c r="N65" s="195" t="s">
        <v>2736</v>
      </c>
      <c r="O65" s="195" t="s">
        <v>2737</v>
      </c>
      <c r="P65" s="195" t="s">
        <v>2331</v>
      </c>
      <c r="Q65" s="195" t="s">
        <v>2738</v>
      </c>
      <c r="R65" s="197" t="s">
        <v>2739</v>
      </c>
      <c r="S65" s="199"/>
      <c r="T65" s="182" t="s">
        <v>2602</v>
      </c>
      <c r="U65" s="182" t="s">
        <v>2740</v>
      </c>
      <c r="V65" s="198" t="s">
        <v>2602</v>
      </c>
      <c r="W65" s="198" t="s">
        <v>2740</v>
      </c>
      <c r="X65" s="198" t="s">
        <v>2741</v>
      </c>
      <c r="Y65" s="199" t="s">
        <v>1907</v>
      </c>
      <c r="Z65" s="199" t="s">
        <v>1908</v>
      </c>
      <c r="AA65" s="199" t="s">
        <v>1909</v>
      </c>
      <c r="AB65" s="199" t="s">
        <v>1800</v>
      </c>
      <c r="AC65" s="200" t="s">
        <v>1746</v>
      </c>
      <c r="AD65" s="200" t="s">
        <v>2616</v>
      </c>
      <c r="AE65" s="200" t="s">
        <v>1644</v>
      </c>
      <c r="AF65" s="200" t="s">
        <v>1981</v>
      </c>
      <c r="AG65" s="200" t="s">
        <v>1857</v>
      </c>
      <c r="AH65" s="200" t="s">
        <v>1677</v>
      </c>
      <c r="AI65" s="200" t="s">
        <v>1648</v>
      </c>
      <c r="AJ65" s="15" t="s">
        <v>2742</v>
      </c>
      <c r="AK65" s="201" t="s">
        <v>1860</v>
      </c>
      <c r="AL65" s="201" t="s">
        <v>1861</v>
      </c>
      <c r="AM65" s="201" t="s">
        <v>1862</v>
      </c>
      <c r="AN65" s="201" t="s">
        <v>1653</v>
      </c>
      <c r="AO65" s="201" t="s">
        <v>1654</v>
      </c>
      <c r="AP65" s="201" t="s">
        <v>1754</v>
      </c>
      <c r="AQ65" s="202" t="s">
        <v>2743</v>
      </c>
      <c r="AR65" s="203" t="s">
        <v>1865</v>
      </c>
      <c r="AS65" s="193"/>
      <c r="AT65" s="193"/>
      <c r="AU65" s="193"/>
      <c r="AV65" s="193"/>
      <c r="AW65" s="193"/>
      <c r="AX65" s="193"/>
      <c r="AY65" s="193"/>
      <c r="AZ65" s="193"/>
      <c r="BA65" s="193"/>
      <c r="BB65" s="193"/>
      <c r="BC65" s="193"/>
      <c r="BD65" s="193"/>
      <c r="BE65" s="193"/>
      <c r="BF65" s="193"/>
      <c r="BG65" s="193"/>
      <c r="BH65" s="193"/>
      <c r="BI65" s="193"/>
      <c r="BJ65" s="193"/>
      <c r="BK65" s="193"/>
      <c r="BL65" s="193"/>
      <c r="BM65" s="193"/>
      <c r="BN65" s="193"/>
      <c r="BO65" s="193"/>
      <c r="BP65" s="193"/>
      <c r="BQ65" s="193"/>
      <c r="BR65" s="193"/>
      <c r="BS65" s="193"/>
      <c r="BT65" s="193"/>
      <c r="BU65" s="193"/>
    </row>
    <row r="66" spans="2:73" ht="39.75" customHeight="1" x14ac:dyDescent="0.25">
      <c r="B66" s="193"/>
      <c r="C66" s="194">
        <v>60</v>
      </c>
      <c r="D66" s="195" t="s">
        <v>2744</v>
      </c>
      <c r="E66" s="195" t="s">
        <v>2745</v>
      </c>
      <c r="F66" s="195" t="s">
        <v>2746</v>
      </c>
      <c r="G66" s="195" t="s">
        <v>2747</v>
      </c>
      <c r="H66" s="195" t="s">
        <v>2744</v>
      </c>
      <c r="I66" s="195" t="s">
        <v>2748</v>
      </c>
      <c r="J66" s="195" t="s">
        <v>2749</v>
      </c>
      <c r="K66" s="195" t="s">
        <v>2750</v>
      </c>
      <c r="L66" s="195" t="s">
        <v>2751</v>
      </c>
      <c r="M66" s="195" t="s">
        <v>1790</v>
      </c>
      <c r="N66" s="195" t="s">
        <v>2752</v>
      </c>
      <c r="O66" s="195" t="s">
        <v>2753</v>
      </c>
      <c r="P66" s="195" t="s">
        <v>2331</v>
      </c>
      <c r="Q66" s="195" t="s">
        <v>2754</v>
      </c>
      <c r="R66" s="197" t="s">
        <v>2755</v>
      </c>
      <c r="S66" s="199"/>
      <c r="T66" s="182" t="s">
        <v>2696</v>
      </c>
      <c r="U66" s="182" t="s">
        <v>2602</v>
      </c>
      <c r="V66" s="198" t="s">
        <v>2696</v>
      </c>
      <c r="W66" s="198" t="s">
        <v>2602</v>
      </c>
      <c r="X66" s="198" t="s">
        <v>2756</v>
      </c>
      <c r="Y66" s="199" t="s">
        <v>1907</v>
      </c>
      <c r="Z66" s="199" t="s">
        <v>2137</v>
      </c>
      <c r="AA66" s="199" t="s">
        <v>1909</v>
      </c>
      <c r="AB66" s="199" t="s">
        <v>1800</v>
      </c>
      <c r="AC66" s="200" t="s">
        <v>1746</v>
      </c>
      <c r="AD66" s="200" t="s">
        <v>1718</v>
      </c>
      <c r="AE66" s="200" t="s">
        <v>1644</v>
      </c>
      <c r="AF66" s="200" t="s">
        <v>1981</v>
      </c>
      <c r="AG66" s="200" t="s">
        <v>1749</v>
      </c>
      <c r="AH66" s="200" t="s">
        <v>1677</v>
      </c>
      <c r="AI66" s="200" t="s">
        <v>1648</v>
      </c>
      <c r="AJ66" s="15" t="s">
        <v>2757</v>
      </c>
      <c r="AK66" s="204" t="s">
        <v>1860</v>
      </c>
      <c r="AL66" s="204" t="s">
        <v>1861</v>
      </c>
      <c r="AM66" s="204" t="s">
        <v>1862</v>
      </c>
      <c r="AN66" s="204" t="s">
        <v>1863</v>
      </c>
      <c r="AO66" s="204" t="s">
        <v>1654</v>
      </c>
      <c r="AP66" s="204" t="s">
        <v>1754</v>
      </c>
      <c r="AQ66" s="205" t="s">
        <v>2758</v>
      </c>
      <c r="AR66" s="206" t="s">
        <v>1865</v>
      </c>
      <c r="AS66" s="193"/>
      <c r="AT66" s="193"/>
      <c r="AU66" s="193"/>
      <c r="AV66" s="193"/>
      <c r="AW66" s="193"/>
      <c r="AX66" s="193"/>
      <c r="AY66" s="193"/>
      <c r="AZ66" s="193"/>
      <c r="BA66" s="193"/>
      <c r="BB66" s="193"/>
      <c r="BC66" s="193"/>
      <c r="BD66" s="193"/>
      <c r="BE66" s="193"/>
      <c r="BF66" s="193"/>
      <c r="BG66" s="193"/>
      <c r="BH66" s="193"/>
      <c r="BI66" s="193"/>
      <c r="BJ66" s="193"/>
      <c r="BK66" s="193"/>
      <c r="BL66" s="193"/>
      <c r="BM66" s="193"/>
      <c r="BN66" s="193"/>
      <c r="BO66" s="193"/>
      <c r="BP66" s="193"/>
      <c r="BQ66" s="193"/>
      <c r="BR66" s="193"/>
      <c r="BS66" s="193"/>
      <c r="BT66" s="193"/>
      <c r="BU66" s="193"/>
    </row>
    <row r="67" spans="2:73" ht="39.75" customHeight="1" x14ac:dyDescent="0.25">
      <c r="B67" s="193"/>
      <c r="C67" s="194">
        <v>61</v>
      </c>
      <c r="D67" s="195" t="s">
        <v>2759</v>
      </c>
      <c r="E67" s="195" t="s">
        <v>2760</v>
      </c>
      <c r="F67" s="195" t="s">
        <v>2408</v>
      </c>
      <c r="G67" s="195" t="s">
        <v>2015</v>
      </c>
      <c r="H67" s="195" t="s">
        <v>2759</v>
      </c>
      <c r="I67" s="195" t="s">
        <v>2761</v>
      </c>
      <c r="J67" s="195" t="s">
        <v>2762</v>
      </c>
      <c r="K67" s="195" t="s">
        <v>2763</v>
      </c>
      <c r="L67" s="195" t="s">
        <v>2015</v>
      </c>
      <c r="M67" s="195" t="s">
        <v>2764</v>
      </c>
      <c r="N67" s="195" t="s">
        <v>2765</v>
      </c>
      <c r="O67" s="195" t="s">
        <v>2766</v>
      </c>
      <c r="P67" s="195" t="s">
        <v>2767</v>
      </c>
      <c r="Q67" s="195" t="s">
        <v>2768</v>
      </c>
      <c r="R67" s="197" t="s">
        <v>2769</v>
      </c>
      <c r="S67" s="208"/>
      <c r="T67" s="182" t="s">
        <v>2770</v>
      </c>
      <c r="U67" s="182" t="s">
        <v>2371</v>
      </c>
      <c r="V67" s="209" t="s">
        <v>2771</v>
      </c>
      <c r="W67" s="209" t="s">
        <v>2772</v>
      </c>
      <c r="X67" s="209" t="s">
        <v>2773</v>
      </c>
      <c r="Y67" s="200" t="s">
        <v>1907</v>
      </c>
      <c r="Z67" s="200" t="s">
        <v>1908</v>
      </c>
      <c r="AA67" s="199" t="s">
        <v>1909</v>
      </c>
      <c r="AB67" s="199" t="s">
        <v>1800</v>
      </c>
      <c r="AC67" s="200" t="s">
        <v>1746</v>
      </c>
      <c r="AD67" s="200" t="s">
        <v>2774</v>
      </c>
      <c r="AE67" s="200" t="s">
        <v>1644</v>
      </c>
      <c r="AF67" s="200" t="s">
        <v>1885</v>
      </c>
      <c r="AG67" s="200" t="s">
        <v>1857</v>
      </c>
      <c r="AH67" s="200" t="s">
        <v>1677</v>
      </c>
      <c r="AI67" s="200" t="s">
        <v>1648</v>
      </c>
      <c r="AJ67" s="15" t="s">
        <v>2775</v>
      </c>
      <c r="AK67" s="201" t="s">
        <v>1860</v>
      </c>
      <c r="AL67" s="201" t="s">
        <v>1861</v>
      </c>
      <c r="AM67" s="201" t="s">
        <v>1915</v>
      </c>
      <c r="AN67" s="201" t="s">
        <v>1753</v>
      </c>
      <c r="AO67" s="201" t="s">
        <v>1654</v>
      </c>
      <c r="AP67" s="201" t="s">
        <v>1754</v>
      </c>
      <c r="AQ67" s="202" t="s">
        <v>2776</v>
      </c>
      <c r="AR67" s="203" t="s">
        <v>1865</v>
      </c>
      <c r="AS67" s="193"/>
      <c r="AT67" s="193"/>
      <c r="AU67" s="193"/>
      <c r="AV67" s="193"/>
      <c r="AW67" s="193"/>
      <c r="AX67" s="193"/>
      <c r="AY67" s="193"/>
      <c r="AZ67" s="193"/>
      <c r="BA67" s="193"/>
      <c r="BB67" s="193"/>
      <c r="BC67" s="193"/>
      <c r="BD67" s="193"/>
      <c r="BE67" s="193"/>
      <c r="BF67" s="193"/>
      <c r="BG67" s="193"/>
      <c r="BH67" s="193"/>
      <c r="BI67" s="193"/>
      <c r="BJ67" s="193"/>
      <c r="BK67" s="193"/>
      <c r="BL67" s="193"/>
      <c r="BM67" s="193"/>
      <c r="BN67" s="193"/>
      <c r="BO67" s="193"/>
      <c r="BP67" s="193"/>
      <c r="BQ67" s="193"/>
      <c r="BR67" s="193"/>
      <c r="BS67" s="193"/>
      <c r="BT67" s="193"/>
      <c r="BU67" s="193"/>
    </row>
    <row r="68" spans="2:73" ht="39.75" customHeight="1" x14ac:dyDescent="0.25">
      <c r="B68" s="193"/>
      <c r="C68" s="194">
        <v>62</v>
      </c>
      <c r="D68" s="195" t="s">
        <v>2777</v>
      </c>
      <c r="E68" s="195" t="s">
        <v>2778</v>
      </c>
      <c r="F68" s="195" t="s">
        <v>2008</v>
      </c>
      <c r="G68" s="195" t="s">
        <v>2779</v>
      </c>
      <c r="H68" s="195" t="s">
        <v>2780</v>
      </c>
      <c r="I68" s="195" t="s">
        <v>2781</v>
      </c>
      <c r="J68" s="195" t="s">
        <v>2782</v>
      </c>
      <c r="K68" s="195" t="s">
        <v>2783</v>
      </c>
      <c r="L68" s="195" t="s">
        <v>2784</v>
      </c>
      <c r="M68" s="195" t="s">
        <v>2785</v>
      </c>
      <c r="N68" s="195" t="s">
        <v>2786</v>
      </c>
      <c r="O68" s="195" t="s">
        <v>2787</v>
      </c>
      <c r="P68" s="195" t="s">
        <v>2788</v>
      </c>
      <c r="Q68" s="195" t="s">
        <v>2789</v>
      </c>
      <c r="R68" s="197" t="s">
        <v>2790</v>
      </c>
      <c r="S68" s="199"/>
      <c r="T68" s="182" t="s">
        <v>2696</v>
      </c>
      <c r="U68" s="182" t="s">
        <v>2371</v>
      </c>
      <c r="V68" s="209" t="s">
        <v>2791</v>
      </c>
      <c r="W68" s="209" t="s">
        <v>2792</v>
      </c>
      <c r="X68" s="209" t="s">
        <v>2793</v>
      </c>
      <c r="Y68" s="199" t="s">
        <v>1907</v>
      </c>
      <c r="Z68" s="199" t="s">
        <v>1908</v>
      </c>
      <c r="AA68" s="199" t="s">
        <v>1909</v>
      </c>
      <c r="AB68" s="199" t="s">
        <v>1800</v>
      </c>
      <c r="AC68" s="200" t="s">
        <v>1746</v>
      </c>
      <c r="AD68" s="200" t="s">
        <v>1718</v>
      </c>
      <c r="AE68" s="200" t="s">
        <v>1644</v>
      </c>
      <c r="AF68" s="200" t="s">
        <v>1653</v>
      </c>
      <c r="AG68" s="200" t="s">
        <v>1700</v>
      </c>
      <c r="AH68" s="200" t="s">
        <v>1677</v>
      </c>
      <c r="AI68" s="200" t="s">
        <v>1648</v>
      </c>
      <c r="AJ68" s="15" t="s">
        <v>2794</v>
      </c>
      <c r="AK68" s="204" t="s">
        <v>1913</v>
      </c>
      <c r="AL68" s="204" t="s">
        <v>1914</v>
      </c>
      <c r="AM68" s="204" t="s">
        <v>1915</v>
      </c>
      <c r="AN68" s="204" t="s">
        <v>1863</v>
      </c>
      <c r="AO68" s="204" t="s">
        <v>1654</v>
      </c>
      <c r="AP68" s="204" t="s">
        <v>1917</v>
      </c>
      <c r="AQ68" s="205" t="s">
        <v>2795</v>
      </c>
      <c r="AR68" s="206" t="s">
        <v>1919</v>
      </c>
      <c r="AS68" s="193"/>
      <c r="AT68" s="193"/>
      <c r="AU68" s="193"/>
      <c r="AV68" s="193"/>
      <c r="AW68" s="193"/>
      <c r="AX68" s="193"/>
      <c r="AY68" s="193"/>
      <c r="AZ68" s="193"/>
      <c r="BA68" s="193"/>
      <c r="BB68" s="193"/>
      <c r="BC68" s="193"/>
      <c r="BD68" s="193"/>
      <c r="BE68" s="193"/>
      <c r="BF68" s="193"/>
      <c r="BG68" s="193"/>
      <c r="BH68" s="193"/>
      <c r="BI68" s="193"/>
      <c r="BJ68" s="193"/>
      <c r="BK68" s="193"/>
      <c r="BL68" s="193"/>
      <c r="BM68" s="193"/>
      <c r="BN68" s="193"/>
      <c r="BO68" s="193"/>
      <c r="BP68" s="193"/>
      <c r="BQ68" s="193"/>
      <c r="BR68" s="193"/>
      <c r="BS68" s="193"/>
      <c r="BT68" s="193"/>
      <c r="BU68" s="193"/>
    </row>
    <row r="69" spans="2:73" ht="39.75" customHeight="1" x14ac:dyDescent="0.25">
      <c r="B69" s="193"/>
      <c r="C69" s="194">
        <v>63</v>
      </c>
      <c r="D69" s="195" t="s">
        <v>2796</v>
      </c>
      <c r="E69" s="195" t="s">
        <v>2076</v>
      </c>
      <c r="F69" s="195" t="s">
        <v>2008</v>
      </c>
      <c r="G69" s="195" t="s">
        <v>2797</v>
      </c>
      <c r="H69" s="195" t="s">
        <v>2796</v>
      </c>
      <c r="I69" s="195" t="s">
        <v>2798</v>
      </c>
      <c r="J69" s="195" t="s">
        <v>2799</v>
      </c>
      <c r="K69" s="195" t="s">
        <v>2783</v>
      </c>
      <c r="L69" s="195" t="s">
        <v>2800</v>
      </c>
      <c r="M69" s="195" t="s">
        <v>2785</v>
      </c>
      <c r="N69" s="195" t="s">
        <v>2801</v>
      </c>
      <c r="O69" s="195" t="s">
        <v>2802</v>
      </c>
      <c r="P69" s="195" t="s">
        <v>2788</v>
      </c>
      <c r="Q69" s="195" t="s">
        <v>2803</v>
      </c>
      <c r="R69" s="197" t="s">
        <v>2804</v>
      </c>
      <c r="S69" s="208"/>
      <c r="T69" s="182" t="s">
        <v>2696</v>
      </c>
      <c r="U69" s="182" t="s">
        <v>2740</v>
      </c>
      <c r="V69" s="209" t="s">
        <v>2805</v>
      </c>
      <c r="W69" s="209" t="s">
        <v>2806</v>
      </c>
      <c r="X69" s="209" t="s">
        <v>2807</v>
      </c>
      <c r="Y69" s="199" t="s">
        <v>1907</v>
      </c>
      <c r="Z69" s="199" t="s">
        <v>1908</v>
      </c>
      <c r="AA69" s="199" t="s">
        <v>1909</v>
      </c>
      <c r="AB69" s="199" t="s">
        <v>1800</v>
      </c>
      <c r="AC69" s="200" t="s">
        <v>1746</v>
      </c>
      <c r="AD69" s="200" t="s">
        <v>2774</v>
      </c>
      <c r="AE69" s="200" t="s">
        <v>1644</v>
      </c>
      <c r="AF69" s="200" t="s">
        <v>2320</v>
      </c>
      <c r="AG69" s="200" t="s">
        <v>1857</v>
      </c>
      <c r="AH69" s="200" t="s">
        <v>1778</v>
      </c>
      <c r="AI69" s="200" t="s">
        <v>1648</v>
      </c>
      <c r="AJ69" s="15" t="s">
        <v>2808</v>
      </c>
      <c r="AK69" s="201" t="s">
        <v>1802</v>
      </c>
      <c r="AL69" s="201" t="s">
        <v>1803</v>
      </c>
      <c r="AM69" s="201" t="s">
        <v>1915</v>
      </c>
      <c r="AN69" s="201" t="s">
        <v>1863</v>
      </c>
      <c r="AO69" s="201" t="s">
        <v>1654</v>
      </c>
      <c r="AP69" s="201" t="s">
        <v>1754</v>
      </c>
      <c r="AQ69" s="202" t="s">
        <v>2809</v>
      </c>
      <c r="AR69" s="203" t="s">
        <v>1805</v>
      </c>
      <c r="AS69" s="193"/>
      <c r="AT69" s="193"/>
      <c r="AU69" s="193"/>
      <c r="AV69" s="193"/>
      <c r="AW69" s="193"/>
      <c r="AX69" s="193"/>
      <c r="AY69" s="193"/>
      <c r="AZ69" s="193"/>
      <c r="BA69" s="193"/>
      <c r="BB69" s="193"/>
      <c r="BC69" s="193"/>
      <c r="BD69" s="193"/>
      <c r="BE69" s="193"/>
      <c r="BF69" s="193"/>
      <c r="BG69" s="193"/>
      <c r="BH69" s="193"/>
      <c r="BI69" s="193"/>
      <c r="BJ69" s="193"/>
      <c r="BK69" s="193"/>
      <c r="BL69" s="193"/>
      <c r="BM69" s="193"/>
      <c r="BN69" s="193"/>
      <c r="BO69" s="193"/>
      <c r="BP69" s="193"/>
      <c r="BQ69" s="193"/>
      <c r="BR69" s="193"/>
      <c r="BS69" s="193"/>
      <c r="BT69" s="193"/>
      <c r="BU69" s="193"/>
    </row>
    <row r="70" spans="2:73" ht="39.75" customHeight="1" x14ac:dyDescent="0.25">
      <c r="B70" s="193"/>
      <c r="C70" s="194">
        <v>64</v>
      </c>
      <c r="D70" s="195" t="s">
        <v>2810</v>
      </c>
      <c r="E70" s="195" t="s">
        <v>2811</v>
      </c>
      <c r="F70" s="195" t="s">
        <v>2035</v>
      </c>
      <c r="G70" s="195" t="s">
        <v>2812</v>
      </c>
      <c r="H70" s="195" t="s">
        <v>2813</v>
      </c>
      <c r="I70" s="195" t="s">
        <v>2814</v>
      </c>
      <c r="J70" s="195" t="s">
        <v>2815</v>
      </c>
      <c r="K70" s="195" t="s">
        <v>2816</v>
      </c>
      <c r="L70" s="195" t="s">
        <v>2812</v>
      </c>
      <c r="M70" s="195" t="s">
        <v>2785</v>
      </c>
      <c r="N70" s="195" t="s">
        <v>2817</v>
      </c>
      <c r="O70" s="195" t="s">
        <v>2818</v>
      </c>
      <c r="P70" s="195" t="s">
        <v>2788</v>
      </c>
      <c r="Q70" s="195" t="s">
        <v>2819</v>
      </c>
      <c r="R70" s="197" t="s">
        <v>2820</v>
      </c>
      <c r="S70" s="199"/>
      <c r="T70" s="182" t="s">
        <v>2696</v>
      </c>
      <c r="U70" s="182" t="s">
        <v>2681</v>
      </c>
      <c r="V70" s="209" t="s">
        <v>2821</v>
      </c>
      <c r="W70" s="209" t="s">
        <v>2822</v>
      </c>
      <c r="X70" s="209" t="s">
        <v>2823</v>
      </c>
      <c r="Y70" s="199" t="s">
        <v>1907</v>
      </c>
      <c r="Z70" s="199" t="s">
        <v>1908</v>
      </c>
      <c r="AA70" s="199" t="s">
        <v>1909</v>
      </c>
      <c r="AB70" s="199" t="s">
        <v>1800</v>
      </c>
      <c r="AC70" s="200" t="s">
        <v>1746</v>
      </c>
      <c r="AD70" s="200" t="s">
        <v>2774</v>
      </c>
      <c r="AE70" s="200" t="s">
        <v>1644</v>
      </c>
      <c r="AF70" s="200" t="s">
        <v>1645</v>
      </c>
      <c r="AG70" s="200" t="s">
        <v>1857</v>
      </c>
      <c r="AH70" s="200" t="s">
        <v>2824</v>
      </c>
      <c r="AI70" s="200" t="s">
        <v>1648</v>
      </c>
      <c r="AJ70" s="15" t="s">
        <v>2825</v>
      </c>
      <c r="AK70" s="204" t="s">
        <v>1913</v>
      </c>
      <c r="AL70" s="204" t="s">
        <v>1914</v>
      </c>
      <c r="AM70" s="204" t="s">
        <v>1915</v>
      </c>
      <c r="AN70" s="204" t="s">
        <v>1863</v>
      </c>
      <c r="AO70" s="204" t="s">
        <v>1654</v>
      </c>
      <c r="AP70" s="204" t="s">
        <v>1917</v>
      </c>
      <c r="AQ70" s="205" t="s">
        <v>2826</v>
      </c>
      <c r="AR70" s="206" t="s">
        <v>1919</v>
      </c>
      <c r="AS70" s="193"/>
      <c r="AT70" s="193"/>
      <c r="AU70" s="193"/>
      <c r="AV70" s="193"/>
      <c r="AW70" s="193"/>
      <c r="AX70" s="193"/>
      <c r="AY70" s="193"/>
      <c r="AZ70" s="193"/>
      <c r="BA70" s="193"/>
      <c r="BB70" s="193"/>
      <c r="BC70" s="193"/>
      <c r="BD70" s="193"/>
      <c r="BE70" s="193"/>
      <c r="BF70" s="193"/>
      <c r="BG70" s="193"/>
      <c r="BH70" s="193"/>
      <c r="BI70" s="193"/>
      <c r="BJ70" s="193"/>
      <c r="BK70" s="193"/>
      <c r="BL70" s="193"/>
      <c r="BM70" s="193"/>
      <c r="BN70" s="193"/>
      <c r="BO70" s="193"/>
      <c r="BP70" s="193"/>
      <c r="BQ70" s="193"/>
      <c r="BR70" s="193"/>
      <c r="BS70" s="193"/>
      <c r="BT70" s="193"/>
      <c r="BU70" s="193"/>
    </row>
    <row r="71" spans="2:73" ht="39.75" customHeight="1" x14ac:dyDescent="0.25">
      <c r="B71" s="193"/>
      <c r="C71" s="194">
        <v>65</v>
      </c>
      <c r="D71" s="195" t="s">
        <v>2827</v>
      </c>
      <c r="E71" s="195" t="s">
        <v>2122</v>
      </c>
      <c r="F71" s="195" t="s">
        <v>2120</v>
      </c>
      <c r="G71" s="195" t="s">
        <v>2828</v>
      </c>
      <c r="H71" s="195" t="s">
        <v>2829</v>
      </c>
      <c r="I71" s="195" t="s">
        <v>2830</v>
      </c>
      <c r="J71" s="195" t="s">
        <v>2831</v>
      </c>
      <c r="K71" s="195" t="s">
        <v>2832</v>
      </c>
      <c r="L71" s="195" t="s">
        <v>2125</v>
      </c>
      <c r="M71" s="199"/>
      <c r="N71" s="199"/>
      <c r="O71" s="199"/>
      <c r="P71" s="199" t="s">
        <v>2833</v>
      </c>
      <c r="Q71" s="199" t="s">
        <v>2834</v>
      </c>
      <c r="R71" s="197" t="s">
        <v>2835</v>
      </c>
      <c r="S71" s="208"/>
      <c r="T71" s="182" t="s">
        <v>2497</v>
      </c>
      <c r="U71" s="182" t="s">
        <v>2740</v>
      </c>
      <c r="V71" s="209" t="s">
        <v>2836</v>
      </c>
      <c r="W71" s="209" t="s">
        <v>2837</v>
      </c>
      <c r="X71" s="209" t="s">
        <v>2838</v>
      </c>
      <c r="Y71" s="199" t="s">
        <v>1907</v>
      </c>
      <c r="Z71" s="199" t="s">
        <v>2137</v>
      </c>
      <c r="AA71" s="199" t="s">
        <v>1909</v>
      </c>
      <c r="AB71" s="199" t="s">
        <v>1800</v>
      </c>
      <c r="AC71" s="200" t="s">
        <v>1746</v>
      </c>
      <c r="AD71" s="200" t="s">
        <v>1718</v>
      </c>
      <c r="AE71" s="200" t="s">
        <v>2141</v>
      </c>
      <c r="AF71" s="200" t="s">
        <v>1677</v>
      </c>
      <c r="AG71" s="200" t="s">
        <v>1700</v>
      </c>
      <c r="AH71" s="200" t="s">
        <v>1778</v>
      </c>
      <c r="AI71" s="200" t="s">
        <v>1648</v>
      </c>
      <c r="AJ71" s="15" t="s">
        <v>2839</v>
      </c>
      <c r="AK71" s="201" t="s">
        <v>1913</v>
      </c>
      <c r="AL71" s="201" t="s">
        <v>1914</v>
      </c>
      <c r="AM71" s="201" t="s">
        <v>2143</v>
      </c>
      <c r="AN71" s="201" t="s">
        <v>1863</v>
      </c>
      <c r="AO71" s="201" t="s">
        <v>1654</v>
      </c>
      <c r="AP71" s="201" t="s">
        <v>1917</v>
      </c>
      <c r="AQ71" s="202" t="s">
        <v>2840</v>
      </c>
      <c r="AR71" s="203" t="s">
        <v>1919</v>
      </c>
      <c r="AS71" s="193"/>
      <c r="AT71" s="193"/>
      <c r="AU71" s="193"/>
      <c r="AV71" s="193"/>
      <c r="AW71" s="193"/>
      <c r="AX71" s="193"/>
      <c r="AY71" s="193"/>
      <c r="AZ71" s="193"/>
      <c r="BA71" s="193"/>
      <c r="BB71" s="193"/>
      <c r="BC71" s="193"/>
      <c r="BD71" s="193"/>
      <c r="BE71" s="193"/>
      <c r="BF71" s="193"/>
      <c r="BG71" s="193"/>
      <c r="BH71" s="193"/>
      <c r="BI71" s="193"/>
      <c r="BJ71" s="193"/>
      <c r="BK71" s="193"/>
      <c r="BL71" s="193"/>
      <c r="BM71" s="193"/>
      <c r="BN71" s="193"/>
      <c r="BO71" s="193"/>
      <c r="BP71" s="193"/>
      <c r="BQ71" s="193"/>
      <c r="BR71" s="193"/>
      <c r="BS71" s="193"/>
      <c r="BT71" s="193"/>
      <c r="BU71" s="193"/>
    </row>
    <row r="72" spans="2:73" ht="39.75" customHeight="1" x14ac:dyDescent="0.25">
      <c r="B72" s="193"/>
      <c r="C72" s="194">
        <v>66</v>
      </c>
      <c r="D72" s="195" t="s">
        <v>2841</v>
      </c>
      <c r="E72" s="195" t="s">
        <v>2842</v>
      </c>
      <c r="F72" s="195" t="s">
        <v>2408</v>
      </c>
      <c r="G72" s="195" t="s">
        <v>2843</v>
      </c>
      <c r="H72" s="195" t="s">
        <v>2841</v>
      </c>
      <c r="I72" s="195" t="s">
        <v>2844</v>
      </c>
      <c r="J72" s="195" t="s">
        <v>2845</v>
      </c>
      <c r="K72" s="195" t="s">
        <v>2846</v>
      </c>
      <c r="L72" s="195" t="s">
        <v>2843</v>
      </c>
      <c r="M72" s="199"/>
      <c r="N72" s="199"/>
      <c r="O72" s="199"/>
      <c r="P72" s="199" t="s">
        <v>2847</v>
      </c>
      <c r="Q72" s="199" t="s">
        <v>2848</v>
      </c>
      <c r="R72" s="197" t="s">
        <v>2849</v>
      </c>
      <c r="S72" s="199"/>
      <c r="T72" s="182" t="s">
        <v>2497</v>
      </c>
      <c r="U72" s="182" t="s">
        <v>1999</v>
      </c>
      <c r="V72" s="209" t="s">
        <v>2850</v>
      </c>
      <c r="W72" s="209" t="s">
        <v>2851</v>
      </c>
      <c r="X72" s="209" t="s">
        <v>2852</v>
      </c>
      <c r="Y72" s="199" t="s">
        <v>1907</v>
      </c>
      <c r="Z72" s="199" t="s">
        <v>1908</v>
      </c>
      <c r="AA72" s="199" t="s">
        <v>1909</v>
      </c>
      <c r="AB72" s="199" t="s">
        <v>1800</v>
      </c>
      <c r="AC72" s="200" t="s">
        <v>2140</v>
      </c>
      <c r="AD72" s="200" t="s">
        <v>2853</v>
      </c>
      <c r="AE72" s="200" t="s">
        <v>2141</v>
      </c>
      <c r="AF72" s="200" t="s">
        <v>1719</v>
      </c>
      <c r="AG72" s="200" t="s">
        <v>1749</v>
      </c>
      <c r="AH72" s="200" t="s">
        <v>1863</v>
      </c>
      <c r="AI72" s="200" t="s">
        <v>1648</v>
      </c>
      <c r="AJ72" s="15" t="s">
        <v>2854</v>
      </c>
      <c r="AK72" s="204" t="s">
        <v>2604</v>
      </c>
      <c r="AL72" s="204" t="s">
        <v>1984</v>
      </c>
      <c r="AM72" s="204" t="s">
        <v>2604</v>
      </c>
      <c r="AN72" s="204" t="s">
        <v>1863</v>
      </c>
      <c r="AO72" s="204" t="s">
        <v>1654</v>
      </c>
      <c r="AP72" s="204" t="s">
        <v>1917</v>
      </c>
      <c r="AQ72" s="205" t="s">
        <v>2855</v>
      </c>
      <c r="AR72" s="206" t="s">
        <v>1986</v>
      </c>
      <c r="AS72" s="193"/>
      <c r="AT72" s="193"/>
      <c r="AU72" s="193"/>
      <c r="AV72" s="193"/>
      <c r="AW72" s="193"/>
      <c r="AX72" s="193"/>
      <c r="AY72" s="193"/>
      <c r="AZ72" s="193"/>
      <c r="BA72" s="193"/>
      <c r="BB72" s="193"/>
      <c r="BC72" s="193"/>
      <c r="BD72" s="193"/>
      <c r="BE72" s="193"/>
      <c r="BF72" s="193"/>
      <c r="BG72" s="193"/>
      <c r="BH72" s="193"/>
      <c r="BI72" s="193"/>
      <c r="BJ72" s="193"/>
      <c r="BK72" s="193"/>
      <c r="BL72" s="193"/>
      <c r="BM72" s="193"/>
      <c r="BN72" s="193"/>
      <c r="BO72" s="193"/>
      <c r="BP72" s="193"/>
      <c r="BQ72" s="193"/>
      <c r="BR72" s="193"/>
      <c r="BS72" s="193"/>
      <c r="BT72" s="193"/>
      <c r="BU72" s="193"/>
    </row>
    <row r="73" spans="2:73" ht="39.75" customHeight="1" x14ac:dyDescent="0.25">
      <c r="B73" s="193"/>
      <c r="C73" s="194">
        <v>67</v>
      </c>
      <c r="D73" s="195" t="s">
        <v>2856</v>
      </c>
      <c r="E73" s="195" t="s">
        <v>2842</v>
      </c>
      <c r="F73" s="195" t="s">
        <v>2120</v>
      </c>
      <c r="G73" s="195" t="s">
        <v>2494</v>
      </c>
      <c r="H73" s="195" t="s">
        <v>2857</v>
      </c>
      <c r="I73" s="195" t="s">
        <v>2858</v>
      </c>
      <c r="J73" s="195" t="s">
        <v>2859</v>
      </c>
      <c r="K73" s="195" t="s">
        <v>2846</v>
      </c>
      <c r="L73" s="195" t="s">
        <v>2494</v>
      </c>
      <c r="M73" s="199"/>
      <c r="N73" s="199"/>
      <c r="O73" s="199"/>
      <c r="P73" s="199" t="s">
        <v>2847</v>
      </c>
      <c r="Q73" s="199" t="s">
        <v>2860</v>
      </c>
      <c r="R73" s="197" t="s">
        <v>2861</v>
      </c>
      <c r="S73" s="208"/>
      <c r="T73" s="182" t="s">
        <v>2497</v>
      </c>
      <c r="U73" s="182" t="s">
        <v>2740</v>
      </c>
      <c r="V73" s="209" t="s">
        <v>2836</v>
      </c>
      <c r="W73" s="209" t="s">
        <v>2862</v>
      </c>
      <c r="X73" s="209" t="s">
        <v>2863</v>
      </c>
      <c r="Y73" s="199" t="s">
        <v>1907</v>
      </c>
      <c r="Z73" s="199" t="s">
        <v>2137</v>
      </c>
      <c r="AA73" s="199" t="s">
        <v>1909</v>
      </c>
      <c r="AB73" s="199" t="s">
        <v>1800</v>
      </c>
      <c r="AC73" s="200" t="s">
        <v>2140</v>
      </c>
      <c r="AD73" s="200" t="s">
        <v>2853</v>
      </c>
      <c r="AE73" s="200" t="s">
        <v>2141</v>
      </c>
      <c r="AF73" s="200" t="s">
        <v>1748</v>
      </c>
      <c r="AG73" s="200" t="s">
        <v>1700</v>
      </c>
      <c r="AH73" s="200" t="s">
        <v>1863</v>
      </c>
      <c r="AI73" s="200" t="s">
        <v>1648</v>
      </c>
      <c r="AJ73" s="15" t="s">
        <v>2864</v>
      </c>
      <c r="AK73" s="201" t="s">
        <v>2604</v>
      </c>
      <c r="AL73" s="201" t="s">
        <v>1984</v>
      </c>
      <c r="AM73" s="201" t="s">
        <v>2604</v>
      </c>
      <c r="AN73" s="201" t="s">
        <v>1863</v>
      </c>
      <c r="AO73" s="201" t="s">
        <v>1654</v>
      </c>
      <c r="AP73" s="201" t="s">
        <v>1917</v>
      </c>
      <c r="AQ73" s="202" t="s">
        <v>2855</v>
      </c>
      <c r="AR73" s="203" t="s">
        <v>1986</v>
      </c>
      <c r="AS73" s="193"/>
      <c r="AT73" s="193"/>
      <c r="AU73" s="193"/>
      <c r="AV73" s="193"/>
      <c r="AW73" s="193"/>
      <c r="AX73" s="193"/>
      <c r="AY73" s="193"/>
      <c r="AZ73" s="193"/>
      <c r="BA73" s="193"/>
      <c r="BB73" s="193"/>
      <c r="BC73" s="193"/>
      <c r="BD73" s="193"/>
      <c r="BE73" s="193"/>
      <c r="BF73" s="193"/>
      <c r="BG73" s="193"/>
      <c r="BH73" s="193"/>
      <c r="BI73" s="193"/>
      <c r="BJ73" s="193"/>
      <c r="BK73" s="193"/>
      <c r="BL73" s="193"/>
      <c r="BM73" s="193"/>
      <c r="BN73" s="193"/>
      <c r="BO73" s="193"/>
      <c r="BP73" s="193"/>
      <c r="BQ73" s="193"/>
      <c r="BR73" s="193"/>
      <c r="BS73" s="193"/>
      <c r="BT73" s="193"/>
      <c r="BU73" s="193"/>
    </row>
    <row r="74" spans="2:73" ht="39.75" customHeight="1" x14ac:dyDescent="0.25">
      <c r="B74" s="193"/>
      <c r="C74" s="194">
        <v>68</v>
      </c>
      <c r="D74" s="195" t="s">
        <v>2865</v>
      </c>
      <c r="E74" s="195" t="s">
        <v>1726</v>
      </c>
      <c r="F74" s="195" t="s">
        <v>2746</v>
      </c>
      <c r="G74" s="195" t="s">
        <v>2866</v>
      </c>
      <c r="H74" s="195" t="s">
        <v>2867</v>
      </c>
      <c r="I74" s="195" t="s">
        <v>2868</v>
      </c>
      <c r="J74" s="195" t="s">
        <v>2869</v>
      </c>
      <c r="K74" s="195" t="s">
        <v>2870</v>
      </c>
      <c r="L74" s="195" t="s">
        <v>2751</v>
      </c>
      <c r="M74" s="195" t="s">
        <v>2871</v>
      </c>
      <c r="N74" s="196" t="s">
        <v>2872</v>
      </c>
      <c r="O74" s="195" t="s">
        <v>2873</v>
      </c>
      <c r="P74" s="195" t="s">
        <v>2874</v>
      </c>
      <c r="Q74" s="195" t="s">
        <v>2875</v>
      </c>
      <c r="R74" s="197" t="s">
        <v>2876</v>
      </c>
      <c r="S74" s="199"/>
      <c r="T74" s="182" t="s">
        <v>2740</v>
      </c>
      <c r="U74" s="182" t="s">
        <v>2497</v>
      </c>
      <c r="V74" s="209" t="s">
        <v>1822</v>
      </c>
      <c r="W74" s="209" t="s">
        <v>2877</v>
      </c>
      <c r="X74" s="209" t="s">
        <v>2878</v>
      </c>
      <c r="Y74" s="199" t="s">
        <v>1907</v>
      </c>
      <c r="Z74" s="199" t="s">
        <v>1908</v>
      </c>
      <c r="AA74" s="199" t="s">
        <v>1909</v>
      </c>
      <c r="AB74" s="199" t="s">
        <v>1800</v>
      </c>
      <c r="AC74" s="200" t="s">
        <v>1746</v>
      </c>
      <c r="AD74" s="200" t="s">
        <v>1718</v>
      </c>
      <c r="AE74" s="200" t="s">
        <v>1644</v>
      </c>
      <c r="AF74" s="200" t="s">
        <v>1645</v>
      </c>
      <c r="AG74" s="200" t="s">
        <v>1777</v>
      </c>
      <c r="AH74" s="200" t="s">
        <v>1863</v>
      </c>
      <c r="AI74" s="200" t="s">
        <v>1648</v>
      </c>
      <c r="AJ74" s="15" t="s">
        <v>2879</v>
      </c>
      <c r="AK74" s="204" t="s">
        <v>2880</v>
      </c>
      <c r="AL74" s="204" t="s">
        <v>1984</v>
      </c>
      <c r="AM74" s="204" t="s">
        <v>2880</v>
      </c>
      <c r="AN74" s="204" t="s">
        <v>1863</v>
      </c>
      <c r="AO74" s="204" t="s">
        <v>1654</v>
      </c>
      <c r="AP74" s="204" t="s">
        <v>1917</v>
      </c>
      <c r="AQ74" s="205" t="s">
        <v>2881</v>
      </c>
      <c r="AR74" s="206" t="s">
        <v>1986</v>
      </c>
      <c r="AS74" s="193"/>
      <c r="AT74" s="193"/>
      <c r="AU74" s="193"/>
      <c r="AV74" s="193"/>
      <c r="AW74" s="193"/>
      <c r="AX74" s="193"/>
      <c r="AY74" s="193"/>
      <c r="AZ74" s="193"/>
      <c r="BA74" s="193"/>
      <c r="BB74" s="193"/>
      <c r="BC74" s="193"/>
      <c r="BD74" s="193"/>
      <c r="BE74" s="193"/>
      <c r="BF74" s="193"/>
      <c r="BG74" s="193"/>
      <c r="BH74" s="193"/>
      <c r="BI74" s="193"/>
      <c r="BJ74" s="193"/>
      <c r="BK74" s="193"/>
      <c r="BL74" s="193"/>
      <c r="BM74" s="193"/>
      <c r="BN74" s="193"/>
      <c r="BO74" s="193"/>
      <c r="BP74" s="193"/>
      <c r="BQ74" s="193"/>
      <c r="BR74" s="193"/>
      <c r="BS74" s="193"/>
      <c r="BT74" s="193"/>
      <c r="BU74" s="193"/>
    </row>
    <row r="75" spans="2:73" ht="39.75" customHeight="1" x14ac:dyDescent="0.25">
      <c r="B75" s="193"/>
      <c r="C75" s="194">
        <v>69</v>
      </c>
      <c r="D75" s="195" t="s">
        <v>2882</v>
      </c>
      <c r="E75" s="195" t="s">
        <v>1960</v>
      </c>
      <c r="F75" s="195" t="s">
        <v>2883</v>
      </c>
      <c r="G75" s="195" t="s">
        <v>1171</v>
      </c>
      <c r="H75" s="195" t="s">
        <v>2884</v>
      </c>
      <c r="I75" s="195" t="s">
        <v>1960</v>
      </c>
      <c r="J75" s="195" t="s">
        <v>2885</v>
      </c>
      <c r="K75" s="195" t="s">
        <v>2886</v>
      </c>
      <c r="L75" s="195" t="s">
        <v>2887</v>
      </c>
      <c r="M75" s="199"/>
      <c r="N75" s="199"/>
      <c r="O75" s="199"/>
      <c r="P75" s="199" t="s">
        <v>1844</v>
      </c>
      <c r="Q75" s="199" t="s">
        <v>2888</v>
      </c>
      <c r="R75" s="197" t="s">
        <v>2889</v>
      </c>
      <c r="S75" s="208"/>
      <c r="T75" s="182" t="s">
        <v>2497</v>
      </c>
      <c r="U75" s="182" t="s">
        <v>2890</v>
      </c>
      <c r="V75" s="209" t="s">
        <v>2891</v>
      </c>
      <c r="W75" s="209" t="s">
        <v>2892</v>
      </c>
      <c r="X75" s="209" t="s">
        <v>2893</v>
      </c>
      <c r="Y75" s="199" t="s">
        <v>1907</v>
      </c>
      <c r="Z75" s="199" t="s">
        <v>1908</v>
      </c>
      <c r="AA75" s="199" t="s">
        <v>1909</v>
      </c>
      <c r="AB75" s="199" t="s">
        <v>1800</v>
      </c>
      <c r="AC75" s="200" t="s">
        <v>2140</v>
      </c>
      <c r="AD75" s="200" t="s">
        <v>1718</v>
      </c>
      <c r="AE75" s="200" t="s">
        <v>2141</v>
      </c>
      <c r="AF75" s="200" t="s">
        <v>1748</v>
      </c>
      <c r="AG75" s="200" t="s">
        <v>1777</v>
      </c>
      <c r="AH75" s="200" t="s">
        <v>1778</v>
      </c>
      <c r="AI75" s="200" t="s">
        <v>1648</v>
      </c>
      <c r="AJ75" s="15" t="s">
        <v>2894</v>
      </c>
      <c r="AK75" s="201" t="s">
        <v>1862</v>
      </c>
      <c r="AL75" s="201" t="s">
        <v>1984</v>
      </c>
      <c r="AM75" s="201" t="s">
        <v>1862</v>
      </c>
      <c r="AN75" s="201" t="s">
        <v>1863</v>
      </c>
      <c r="AO75" s="201" t="s">
        <v>1654</v>
      </c>
      <c r="AP75" s="201" t="s">
        <v>1917</v>
      </c>
      <c r="AQ75" s="202" t="s">
        <v>2895</v>
      </c>
      <c r="AR75" s="203" t="s">
        <v>1986</v>
      </c>
      <c r="AS75" s="193"/>
      <c r="AT75" s="193"/>
      <c r="AU75" s="193"/>
      <c r="AV75" s="193"/>
      <c r="AW75" s="193"/>
      <c r="AX75" s="193"/>
      <c r="AY75" s="193"/>
      <c r="AZ75" s="193"/>
      <c r="BA75" s="193"/>
      <c r="BB75" s="193"/>
      <c r="BC75" s="193"/>
      <c r="BD75" s="193"/>
      <c r="BE75" s="193"/>
      <c r="BF75" s="193"/>
      <c r="BG75" s="193"/>
      <c r="BH75" s="193"/>
      <c r="BI75" s="193"/>
      <c r="BJ75" s="193"/>
      <c r="BK75" s="193"/>
      <c r="BL75" s="193"/>
      <c r="BM75" s="193"/>
      <c r="BN75" s="193"/>
      <c r="BO75" s="193"/>
      <c r="BP75" s="193"/>
      <c r="BQ75" s="193"/>
      <c r="BR75" s="193"/>
      <c r="BS75" s="193"/>
      <c r="BT75" s="193"/>
      <c r="BU75" s="193"/>
    </row>
    <row r="76" spans="2:73" ht="39.75" customHeight="1" x14ac:dyDescent="0.25">
      <c r="B76" s="193"/>
      <c r="C76" s="194">
        <v>70</v>
      </c>
      <c r="D76" s="195" t="s">
        <v>2896</v>
      </c>
      <c r="E76" s="195" t="s">
        <v>2729</v>
      </c>
      <c r="F76" s="195" t="s">
        <v>2730</v>
      </c>
      <c r="G76" s="195" t="s">
        <v>2897</v>
      </c>
      <c r="H76" s="195" t="s">
        <v>2898</v>
      </c>
      <c r="I76" s="195" t="s">
        <v>2899</v>
      </c>
      <c r="J76" s="195" t="s">
        <v>2900</v>
      </c>
      <c r="K76" s="195" t="s">
        <v>2886</v>
      </c>
      <c r="L76" s="195" t="s">
        <v>2368</v>
      </c>
      <c r="M76" s="195" t="s">
        <v>2901</v>
      </c>
      <c r="N76" s="196" t="s">
        <v>2902</v>
      </c>
      <c r="O76" s="195" t="s">
        <v>2887</v>
      </c>
      <c r="P76" s="195" t="s">
        <v>1844</v>
      </c>
      <c r="Q76" s="195" t="s">
        <v>2903</v>
      </c>
      <c r="R76" s="197" t="s">
        <v>2904</v>
      </c>
      <c r="S76" s="199"/>
      <c r="T76" s="182" t="s">
        <v>2497</v>
      </c>
      <c r="U76" s="182" t="s">
        <v>2740</v>
      </c>
      <c r="V76" s="209" t="s">
        <v>2905</v>
      </c>
      <c r="W76" s="209" t="s">
        <v>2906</v>
      </c>
      <c r="X76" s="209" t="s">
        <v>2907</v>
      </c>
      <c r="Y76" s="199" t="s">
        <v>1907</v>
      </c>
      <c r="Z76" s="199" t="s">
        <v>1908</v>
      </c>
      <c r="AA76" s="199" t="s">
        <v>1909</v>
      </c>
      <c r="AB76" s="199" t="s">
        <v>1800</v>
      </c>
      <c r="AC76" s="200" t="s">
        <v>2140</v>
      </c>
      <c r="AD76" s="200" t="s">
        <v>2908</v>
      </c>
      <c r="AE76" s="200" t="s">
        <v>1644</v>
      </c>
      <c r="AF76" s="200" t="s">
        <v>1677</v>
      </c>
      <c r="AG76" s="200" t="s">
        <v>1777</v>
      </c>
      <c r="AH76" s="200" t="s">
        <v>1677</v>
      </c>
      <c r="AI76" s="200" t="s">
        <v>1648</v>
      </c>
      <c r="AJ76" s="15" t="s">
        <v>2909</v>
      </c>
      <c r="AK76" s="204" t="s">
        <v>1862</v>
      </c>
      <c r="AL76" s="204" t="s">
        <v>1984</v>
      </c>
      <c r="AM76" s="204" t="s">
        <v>1862</v>
      </c>
      <c r="AN76" s="204" t="s">
        <v>1653</v>
      </c>
      <c r="AO76" s="204" t="s">
        <v>1654</v>
      </c>
      <c r="AP76" s="204" t="s">
        <v>1917</v>
      </c>
      <c r="AQ76" s="205" t="s">
        <v>2910</v>
      </c>
      <c r="AR76" s="206" t="s">
        <v>1986</v>
      </c>
      <c r="AS76" s="193"/>
      <c r="AT76" s="193"/>
      <c r="AU76" s="193"/>
      <c r="AV76" s="193"/>
      <c r="AW76" s="193"/>
      <c r="AX76" s="193"/>
      <c r="AY76" s="193"/>
      <c r="AZ76" s="193"/>
      <c r="BA76" s="193"/>
      <c r="BB76" s="193"/>
      <c r="BC76" s="193"/>
      <c r="BD76" s="193"/>
      <c r="BE76" s="193"/>
      <c r="BF76" s="193"/>
      <c r="BG76" s="193"/>
      <c r="BH76" s="193"/>
      <c r="BI76" s="193"/>
      <c r="BJ76" s="193"/>
      <c r="BK76" s="193"/>
      <c r="BL76" s="193"/>
      <c r="BM76" s="193"/>
      <c r="BN76" s="193"/>
      <c r="BO76" s="193"/>
      <c r="BP76" s="193"/>
      <c r="BQ76" s="193"/>
      <c r="BR76" s="193"/>
      <c r="BS76" s="193"/>
      <c r="BT76" s="193"/>
      <c r="BU76" s="193"/>
    </row>
    <row r="77" spans="2:73" ht="39.75" customHeight="1" x14ac:dyDescent="0.25">
      <c r="B77" s="193"/>
      <c r="C77" s="194">
        <v>71</v>
      </c>
      <c r="D77" s="195" t="s">
        <v>2911</v>
      </c>
      <c r="E77" s="195" t="s">
        <v>2166</v>
      </c>
      <c r="F77" s="195" t="s">
        <v>2912</v>
      </c>
      <c r="G77" s="195" t="s">
        <v>2103</v>
      </c>
      <c r="H77" s="195" t="s">
        <v>2913</v>
      </c>
      <c r="I77" s="195" t="s">
        <v>2914</v>
      </c>
      <c r="J77" s="195" t="s">
        <v>2915</v>
      </c>
      <c r="K77" s="195" t="s">
        <v>2916</v>
      </c>
      <c r="L77" s="195" t="s">
        <v>2103</v>
      </c>
      <c r="M77" s="195" t="s">
        <v>2917</v>
      </c>
      <c r="N77" s="196" t="s">
        <v>2918</v>
      </c>
      <c r="O77" s="195" t="s">
        <v>2919</v>
      </c>
      <c r="P77" s="195" t="s">
        <v>2920</v>
      </c>
      <c r="Q77" s="195" t="s">
        <v>2921</v>
      </c>
      <c r="R77" s="208" t="s">
        <v>2922</v>
      </c>
      <c r="S77" s="208"/>
      <c r="T77" s="182" t="s">
        <v>2890</v>
      </c>
      <c r="U77" s="182" t="s">
        <v>2523</v>
      </c>
      <c r="V77" s="209" t="s">
        <v>1999</v>
      </c>
      <c r="W77" s="209" t="s">
        <v>2923</v>
      </c>
      <c r="X77" s="209" t="s">
        <v>2924</v>
      </c>
      <c r="Y77" s="199" t="s">
        <v>1907</v>
      </c>
      <c r="Z77" s="199" t="s">
        <v>1908</v>
      </c>
      <c r="AA77" s="199" t="s">
        <v>1909</v>
      </c>
      <c r="AB77" s="199" t="s">
        <v>1800</v>
      </c>
      <c r="AC77" s="200" t="s">
        <v>2183</v>
      </c>
      <c r="AD77" s="200" t="s">
        <v>2925</v>
      </c>
      <c r="AE77" s="200" t="s">
        <v>2183</v>
      </c>
      <c r="AF77" s="200" t="s">
        <v>1653</v>
      </c>
      <c r="AG77" s="200" t="s">
        <v>1678</v>
      </c>
      <c r="AH77" s="200" t="s">
        <v>2209</v>
      </c>
      <c r="AI77" s="200" t="s">
        <v>1648</v>
      </c>
      <c r="AJ77" s="15" t="s">
        <v>2926</v>
      </c>
      <c r="AK77" s="201" t="s">
        <v>2185</v>
      </c>
      <c r="AL77" s="201" t="s">
        <v>2186</v>
      </c>
      <c r="AM77" s="201" t="s">
        <v>2187</v>
      </c>
      <c r="AN77" s="201" t="s">
        <v>1653</v>
      </c>
      <c r="AO77" s="201" t="s">
        <v>1654</v>
      </c>
      <c r="AP77" s="201" t="s">
        <v>1655</v>
      </c>
      <c r="AQ77" s="202" t="s">
        <v>2927</v>
      </c>
      <c r="AR77" s="203" t="s">
        <v>2189</v>
      </c>
      <c r="AS77" s="193"/>
      <c r="AT77" s="193"/>
      <c r="AU77" s="193"/>
      <c r="AV77" s="193"/>
      <c r="AW77" s="193"/>
      <c r="AX77" s="193"/>
      <c r="AY77" s="193"/>
      <c r="AZ77" s="193"/>
      <c r="BA77" s="193"/>
      <c r="BB77" s="193"/>
      <c r="BC77" s="193"/>
      <c r="BD77" s="193"/>
      <c r="BE77" s="193"/>
      <c r="BF77" s="193"/>
      <c r="BG77" s="193"/>
      <c r="BH77" s="193"/>
      <c r="BI77" s="193"/>
      <c r="BJ77" s="193"/>
      <c r="BK77" s="193"/>
      <c r="BL77" s="193"/>
      <c r="BM77" s="193"/>
      <c r="BN77" s="193"/>
      <c r="BO77" s="193"/>
      <c r="BP77" s="193"/>
      <c r="BQ77" s="193"/>
      <c r="BR77" s="193"/>
      <c r="BS77" s="193"/>
      <c r="BT77" s="193"/>
      <c r="BU77" s="193"/>
    </row>
    <row r="78" spans="2:73" ht="39.75" customHeight="1" x14ac:dyDescent="0.25">
      <c r="B78" s="193"/>
      <c r="C78" s="194">
        <v>72</v>
      </c>
      <c r="D78" s="195" t="s">
        <v>2928</v>
      </c>
      <c r="E78" s="195" t="s">
        <v>2191</v>
      </c>
      <c r="F78" s="195" t="s">
        <v>2929</v>
      </c>
      <c r="G78" s="195" t="s">
        <v>2930</v>
      </c>
      <c r="H78" s="195" t="s">
        <v>2928</v>
      </c>
      <c r="I78" s="195" t="s">
        <v>2191</v>
      </c>
      <c r="J78" s="195" t="s">
        <v>2931</v>
      </c>
      <c r="K78" s="195" t="s">
        <v>2932</v>
      </c>
      <c r="L78" s="195" t="s">
        <v>2930</v>
      </c>
      <c r="M78" s="199"/>
      <c r="N78" s="199"/>
      <c r="O78" s="199"/>
      <c r="P78" s="199" t="s">
        <v>2920</v>
      </c>
      <c r="Q78" s="199" t="s">
        <v>2933</v>
      </c>
      <c r="R78" s="208" t="s">
        <v>2934</v>
      </c>
      <c r="S78" s="199"/>
      <c r="T78" s="182" t="s">
        <v>2890</v>
      </c>
      <c r="U78" s="182" t="s">
        <v>2224</v>
      </c>
      <c r="V78" s="209" t="s">
        <v>2935</v>
      </c>
      <c r="W78" s="209" t="s">
        <v>2936</v>
      </c>
      <c r="X78" s="209" t="s">
        <v>2937</v>
      </c>
      <c r="Y78" s="199" t="s">
        <v>1907</v>
      </c>
      <c r="Z78" s="199" t="s">
        <v>1908</v>
      </c>
      <c r="AA78" s="199" t="s">
        <v>1909</v>
      </c>
      <c r="AB78" s="199" t="s">
        <v>1800</v>
      </c>
      <c r="AC78" s="200" t="s">
        <v>2183</v>
      </c>
      <c r="AD78" s="200" t="s">
        <v>1718</v>
      </c>
      <c r="AE78" s="200" t="s">
        <v>2183</v>
      </c>
      <c r="AF78" s="200" t="s">
        <v>1645</v>
      </c>
      <c r="AG78" s="200" t="s">
        <v>1749</v>
      </c>
      <c r="AH78" s="200" t="s">
        <v>1749</v>
      </c>
      <c r="AI78" s="200" t="s">
        <v>1648</v>
      </c>
      <c r="AJ78" s="15" t="s">
        <v>2938</v>
      </c>
      <c r="AK78" s="204" t="s">
        <v>2185</v>
      </c>
      <c r="AL78" s="204" t="s">
        <v>2186</v>
      </c>
      <c r="AM78" s="204" t="s">
        <v>2187</v>
      </c>
      <c r="AN78" s="204" t="s">
        <v>1653</v>
      </c>
      <c r="AO78" s="204" t="s">
        <v>1654</v>
      </c>
      <c r="AP78" s="204" t="s">
        <v>1655</v>
      </c>
      <c r="AQ78" s="205" t="s">
        <v>2927</v>
      </c>
      <c r="AR78" s="206" t="s">
        <v>2189</v>
      </c>
      <c r="AS78" s="193"/>
      <c r="AT78" s="193"/>
      <c r="AU78" s="193"/>
      <c r="AV78" s="193"/>
      <c r="AW78" s="193"/>
      <c r="AX78" s="193"/>
      <c r="AY78" s="193"/>
      <c r="AZ78" s="193"/>
      <c r="BA78" s="193"/>
      <c r="BB78" s="193"/>
      <c r="BC78" s="193"/>
      <c r="BD78" s="193"/>
      <c r="BE78" s="193"/>
      <c r="BF78" s="193"/>
      <c r="BG78" s="193"/>
      <c r="BH78" s="193"/>
      <c r="BI78" s="193"/>
      <c r="BJ78" s="193"/>
      <c r="BK78" s="193"/>
      <c r="BL78" s="193"/>
      <c r="BM78" s="193"/>
      <c r="BN78" s="193"/>
      <c r="BO78" s="193"/>
      <c r="BP78" s="193"/>
      <c r="BQ78" s="193"/>
      <c r="BR78" s="193"/>
      <c r="BS78" s="193"/>
      <c r="BT78" s="193"/>
      <c r="BU78" s="193"/>
    </row>
    <row r="79" spans="2:73" ht="39.75" customHeight="1" x14ac:dyDescent="0.25">
      <c r="B79" s="193"/>
      <c r="C79" s="194">
        <v>73</v>
      </c>
      <c r="D79" s="195" t="s">
        <v>2939</v>
      </c>
      <c r="E79" s="195" t="s">
        <v>2940</v>
      </c>
      <c r="F79" s="195" t="s">
        <v>2449</v>
      </c>
      <c r="G79" s="195" t="s">
        <v>2941</v>
      </c>
      <c r="H79" s="195" t="s">
        <v>2939</v>
      </c>
      <c r="I79" s="195" t="s">
        <v>2940</v>
      </c>
      <c r="J79" s="195" t="s">
        <v>2942</v>
      </c>
      <c r="K79" s="195" t="s">
        <v>2943</v>
      </c>
      <c r="L79" s="195" t="s">
        <v>2944</v>
      </c>
      <c r="M79" s="195" t="s">
        <v>2945</v>
      </c>
      <c r="N79" s="196" t="s">
        <v>2946</v>
      </c>
      <c r="O79" s="195" t="s">
        <v>2947</v>
      </c>
      <c r="P79" s="195" t="s">
        <v>2174</v>
      </c>
      <c r="Q79" s="195" t="s">
        <v>2948</v>
      </c>
      <c r="R79" s="208" t="s">
        <v>2949</v>
      </c>
      <c r="S79" s="208"/>
      <c r="T79" s="182" t="s">
        <v>2890</v>
      </c>
      <c r="U79" s="182" t="s">
        <v>2950</v>
      </c>
      <c r="V79" s="209" t="s">
        <v>1999</v>
      </c>
      <c r="W79" s="209" t="s">
        <v>2951</v>
      </c>
      <c r="X79" s="209" t="s">
        <v>2952</v>
      </c>
      <c r="Y79" s="199" t="s">
        <v>1907</v>
      </c>
      <c r="Z79" s="199" t="s">
        <v>2137</v>
      </c>
      <c r="AA79" s="199" t="s">
        <v>1909</v>
      </c>
      <c r="AB79" s="199" t="s">
        <v>1800</v>
      </c>
      <c r="AC79" s="200" t="s">
        <v>2183</v>
      </c>
      <c r="AD79" s="200" t="s">
        <v>1718</v>
      </c>
      <c r="AE79" s="200" t="s">
        <v>2183</v>
      </c>
      <c r="AF79" s="200" t="s">
        <v>1699</v>
      </c>
      <c r="AG79" s="200" t="s">
        <v>1749</v>
      </c>
      <c r="AH79" s="200" t="s">
        <v>1749</v>
      </c>
      <c r="AI79" s="200" t="s">
        <v>1648</v>
      </c>
      <c r="AJ79" s="15" t="s">
        <v>2953</v>
      </c>
      <c r="AK79" s="201" t="s">
        <v>2185</v>
      </c>
      <c r="AL79" s="201" t="s">
        <v>2186</v>
      </c>
      <c r="AM79" s="201" t="s">
        <v>2187</v>
      </c>
      <c r="AN79" s="201" t="s">
        <v>1653</v>
      </c>
      <c r="AO79" s="201" t="s">
        <v>1654</v>
      </c>
      <c r="AP79" s="201" t="s">
        <v>1655</v>
      </c>
      <c r="AQ79" s="202" t="s">
        <v>2188</v>
      </c>
      <c r="AR79" s="203" t="s">
        <v>2189</v>
      </c>
      <c r="AS79" s="193"/>
      <c r="AT79" s="193"/>
      <c r="AU79" s="193"/>
      <c r="AV79" s="193"/>
      <c r="AW79" s="193"/>
      <c r="AX79" s="193"/>
      <c r="AY79" s="193"/>
      <c r="AZ79" s="193"/>
      <c r="BA79" s="193"/>
      <c r="BB79" s="193"/>
      <c r="BC79" s="193"/>
      <c r="BD79" s="193"/>
      <c r="BE79" s="193"/>
      <c r="BF79" s="193"/>
      <c r="BG79" s="193"/>
      <c r="BH79" s="193"/>
      <c r="BI79" s="193"/>
      <c r="BJ79" s="193"/>
      <c r="BK79" s="193"/>
      <c r="BL79" s="193"/>
      <c r="BM79" s="193"/>
      <c r="BN79" s="193"/>
      <c r="BO79" s="193"/>
      <c r="BP79" s="193"/>
      <c r="BQ79" s="193"/>
      <c r="BR79" s="193"/>
      <c r="BS79" s="193"/>
      <c r="BT79" s="193"/>
      <c r="BU79" s="193"/>
    </row>
    <row r="80" spans="2:73" ht="39.75" customHeight="1" x14ac:dyDescent="0.25">
      <c r="B80" s="193"/>
      <c r="C80" s="194">
        <v>74</v>
      </c>
      <c r="D80" s="195" t="s">
        <v>2954</v>
      </c>
      <c r="E80" s="195" t="s">
        <v>2955</v>
      </c>
      <c r="F80" s="195" t="s">
        <v>2956</v>
      </c>
      <c r="G80" s="195" t="s">
        <v>2957</v>
      </c>
      <c r="H80" s="195" t="s">
        <v>2954</v>
      </c>
      <c r="I80" s="195" t="s">
        <v>2958</v>
      </c>
      <c r="J80" s="195" t="s">
        <v>2959</v>
      </c>
      <c r="K80" s="195" t="s">
        <v>2960</v>
      </c>
      <c r="L80" s="195" t="s">
        <v>2494</v>
      </c>
      <c r="M80" s="195" t="s">
        <v>2961</v>
      </c>
      <c r="N80" s="196" t="s">
        <v>2962</v>
      </c>
      <c r="O80" s="195" t="s">
        <v>2963</v>
      </c>
      <c r="P80" s="195" t="s">
        <v>2964</v>
      </c>
      <c r="Q80" s="195" t="s">
        <v>2965</v>
      </c>
      <c r="R80" s="208" t="s">
        <v>2966</v>
      </c>
      <c r="S80" s="199"/>
      <c r="T80" s="182" t="s">
        <v>2740</v>
      </c>
      <c r="U80" s="182" t="s">
        <v>2681</v>
      </c>
      <c r="V80" s="209" t="s">
        <v>1822</v>
      </c>
      <c r="W80" s="209" t="s">
        <v>2967</v>
      </c>
      <c r="X80" s="209" t="s">
        <v>2968</v>
      </c>
      <c r="Y80" s="199" t="s">
        <v>1907</v>
      </c>
      <c r="Z80" s="199" t="s">
        <v>1908</v>
      </c>
      <c r="AA80" s="199" t="s">
        <v>1909</v>
      </c>
      <c r="AB80" s="199" t="s">
        <v>1800</v>
      </c>
      <c r="AC80" s="200" t="s">
        <v>1746</v>
      </c>
      <c r="AD80" s="200" t="s">
        <v>1718</v>
      </c>
      <c r="AE80" s="200" t="s">
        <v>1644</v>
      </c>
      <c r="AF80" s="200" t="s">
        <v>1653</v>
      </c>
      <c r="AG80" s="200" t="s">
        <v>1749</v>
      </c>
      <c r="AH80" s="200" t="s">
        <v>1677</v>
      </c>
      <c r="AI80" s="200" t="s">
        <v>1648</v>
      </c>
      <c r="AJ80" s="15" t="s">
        <v>2969</v>
      </c>
      <c r="AK80" s="204" t="s">
        <v>2185</v>
      </c>
      <c r="AL80" s="204" t="s">
        <v>2186</v>
      </c>
      <c r="AM80" s="204" t="s">
        <v>2209</v>
      </c>
      <c r="AN80" s="204" t="s">
        <v>1653</v>
      </c>
      <c r="AO80" s="204" t="s">
        <v>1654</v>
      </c>
      <c r="AP80" s="204" t="s">
        <v>1655</v>
      </c>
      <c r="AQ80" s="205" t="s">
        <v>2210</v>
      </c>
      <c r="AR80" s="206" t="s">
        <v>2189</v>
      </c>
      <c r="AS80" s="193"/>
      <c r="AT80" s="193"/>
      <c r="AU80" s="193"/>
      <c r="AV80" s="193"/>
      <c r="AW80" s="193"/>
      <c r="AX80" s="193"/>
      <c r="AY80" s="193"/>
      <c r="AZ80" s="193"/>
      <c r="BA80" s="193"/>
      <c r="BB80" s="193"/>
      <c r="BC80" s="193"/>
      <c r="BD80" s="193"/>
      <c r="BE80" s="193"/>
      <c r="BF80" s="193"/>
      <c r="BG80" s="193"/>
      <c r="BH80" s="193"/>
      <c r="BI80" s="193"/>
      <c r="BJ80" s="193"/>
      <c r="BK80" s="193"/>
      <c r="BL80" s="193"/>
      <c r="BM80" s="193"/>
      <c r="BN80" s="193"/>
      <c r="BO80" s="193"/>
      <c r="BP80" s="193"/>
      <c r="BQ80" s="193"/>
      <c r="BR80" s="193"/>
      <c r="BS80" s="193"/>
      <c r="BT80" s="193"/>
      <c r="BU80" s="193"/>
    </row>
    <row r="81" spans="2:73" ht="39.75" customHeight="1" x14ac:dyDescent="0.25">
      <c r="B81" s="193"/>
      <c r="C81" s="194">
        <v>75</v>
      </c>
      <c r="D81" s="195" t="s">
        <v>2970</v>
      </c>
      <c r="E81" s="195" t="s">
        <v>2971</v>
      </c>
      <c r="F81" s="195" t="s">
        <v>2883</v>
      </c>
      <c r="G81" s="195" t="s">
        <v>2873</v>
      </c>
      <c r="H81" s="195" t="s">
        <v>2970</v>
      </c>
      <c r="I81" s="195" t="s">
        <v>2955</v>
      </c>
      <c r="J81" s="195" t="s">
        <v>2972</v>
      </c>
      <c r="K81" s="195" t="s">
        <v>2973</v>
      </c>
      <c r="L81" s="195" t="s">
        <v>2873</v>
      </c>
      <c r="M81" s="195" t="s">
        <v>1967</v>
      </c>
      <c r="N81" s="196" t="s">
        <v>2974</v>
      </c>
      <c r="O81" s="195" t="s">
        <v>2975</v>
      </c>
      <c r="P81" s="195" t="s">
        <v>2199</v>
      </c>
      <c r="Q81" s="195" t="s">
        <v>2976</v>
      </c>
      <c r="R81" s="208" t="s">
        <v>2977</v>
      </c>
      <c r="S81" s="208"/>
      <c r="T81" s="182" t="s">
        <v>2497</v>
      </c>
      <c r="U81" s="182" t="s">
        <v>2890</v>
      </c>
      <c r="V81" s="209" t="s">
        <v>2978</v>
      </c>
      <c r="W81" s="209" t="s">
        <v>2979</v>
      </c>
      <c r="X81" s="209" t="s">
        <v>2980</v>
      </c>
      <c r="Y81" s="199" t="s">
        <v>1907</v>
      </c>
      <c r="Z81" s="199" t="s">
        <v>1908</v>
      </c>
      <c r="AA81" s="199" t="s">
        <v>1909</v>
      </c>
      <c r="AB81" s="199" t="s">
        <v>1800</v>
      </c>
      <c r="AC81" s="200" t="s">
        <v>2183</v>
      </c>
      <c r="AD81" s="200" t="s">
        <v>1718</v>
      </c>
      <c r="AE81" s="200" t="s">
        <v>1644</v>
      </c>
      <c r="AF81" s="200" t="s">
        <v>1719</v>
      </c>
      <c r="AG81" s="200" t="s">
        <v>1700</v>
      </c>
      <c r="AH81" s="200" t="s">
        <v>1677</v>
      </c>
      <c r="AI81" s="200" t="s">
        <v>1648</v>
      </c>
      <c r="AJ81" s="15" t="s">
        <v>2981</v>
      </c>
      <c r="AK81" s="201" t="s">
        <v>1913</v>
      </c>
      <c r="AL81" s="201" t="s">
        <v>1914</v>
      </c>
      <c r="AM81" s="201" t="s">
        <v>2209</v>
      </c>
      <c r="AN81" s="201" t="s">
        <v>1863</v>
      </c>
      <c r="AO81" s="201" t="s">
        <v>1654</v>
      </c>
      <c r="AP81" s="201" t="s">
        <v>1917</v>
      </c>
      <c r="AQ81" s="202" t="s">
        <v>2982</v>
      </c>
      <c r="AR81" s="203" t="s">
        <v>1919</v>
      </c>
      <c r="AS81" s="193"/>
      <c r="AT81" s="193"/>
      <c r="AU81" s="193"/>
      <c r="AV81" s="193"/>
      <c r="AW81" s="193"/>
      <c r="AX81" s="193"/>
      <c r="AY81" s="193"/>
      <c r="AZ81" s="193"/>
      <c r="BA81" s="193"/>
      <c r="BB81" s="193"/>
      <c r="BC81" s="193"/>
      <c r="BD81" s="193"/>
      <c r="BE81" s="193"/>
      <c r="BF81" s="193"/>
      <c r="BG81" s="193"/>
      <c r="BH81" s="193"/>
      <c r="BI81" s="193"/>
      <c r="BJ81" s="193"/>
      <c r="BK81" s="193"/>
      <c r="BL81" s="193"/>
      <c r="BM81" s="193"/>
      <c r="BN81" s="193"/>
      <c r="BO81" s="193"/>
      <c r="BP81" s="193"/>
      <c r="BQ81" s="193"/>
      <c r="BR81" s="193"/>
      <c r="BS81" s="193"/>
      <c r="BT81" s="193"/>
      <c r="BU81" s="193"/>
    </row>
    <row r="82" spans="2:73" ht="39.75" customHeight="1" x14ac:dyDescent="0.25">
      <c r="B82" s="193"/>
      <c r="C82" s="194">
        <v>76</v>
      </c>
      <c r="D82" s="195" t="s">
        <v>2983</v>
      </c>
      <c r="E82" s="195" t="s">
        <v>2166</v>
      </c>
      <c r="F82" s="195" t="s">
        <v>2984</v>
      </c>
      <c r="G82" s="195" t="s">
        <v>2103</v>
      </c>
      <c r="H82" s="195" t="s">
        <v>2983</v>
      </c>
      <c r="I82" s="195" t="s">
        <v>2985</v>
      </c>
      <c r="J82" s="195" t="s">
        <v>2986</v>
      </c>
      <c r="K82" s="195" t="s">
        <v>2987</v>
      </c>
      <c r="L82" s="195" t="s">
        <v>2988</v>
      </c>
      <c r="M82" s="195" t="s">
        <v>2989</v>
      </c>
      <c r="N82" s="196" t="s">
        <v>2990</v>
      </c>
      <c r="O82" s="195" t="s">
        <v>2991</v>
      </c>
      <c r="P82" s="195" t="s">
        <v>2199</v>
      </c>
      <c r="Q82" s="195" t="s">
        <v>2992</v>
      </c>
      <c r="R82" s="208" t="s">
        <v>2993</v>
      </c>
      <c r="S82" s="199"/>
      <c r="T82" s="182" t="s">
        <v>2497</v>
      </c>
      <c r="U82" s="182" t="s">
        <v>2890</v>
      </c>
      <c r="V82" s="209" t="s">
        <v>2978</v>
      </c>
      <c r="W82" s="209" t="s">
        <v>2994</v>
      </c>
      <c r="X82" s="209" t="s">
        <v>2995</v>
      </c>
      <c r="Y82" s="199" t="s">
        <v>1907</v>
      </c>
      <c r="Z82" s="199" t="s">
        <v>1908</v>
      </c>
      <c r="AA82" s="199" t="s">
        <v>1909</v>
      </c>
      <c r="AB82" s="199" t="s">
        <v>1800</v>
      </c>
      <c r="AC82" s="200" t="s">
        <v>2183</v>
      </c>
      <c r="AD82" s="200" t="s">
        <v>1718</v>
      </c>
      <c r="AE82" s="200" t="s">
        <v>1644</v>
      </c>
      <c r="AF82" s="200" t="s">
        <v>1699</v>
      </c>
      <c r="AG82" s="200" t="s">
        <v>1857</v>
      </c>
      <c r="AH82" s="200" t="s">
        <v>1863</v>
      </c>
      <c r="AI82" s="200" t="s">
        <v>1648</v>
      </c>
      <c r="AJ82" s="15" t="s">
        <v>2996</v>
      </c>
      <c r="AK82" s="204" t="s">
        <v>2185</v>
      </c>
      <c r="AL82" s="204" t="s">
        <v>2186</v>
      </c>
      <c r="AM82" s="204" t="s">
        <v>2209</v>
      </c>
      <c r="AN82" s="204" t="s">
        <v>1653</v>
      </c>
      <c r="AO82" s="204" t="s">
        <v>1654</v>
      </c>
      <c r="AP82" s="204" t="s">
        <v>1655</v>
      </c>
      <c r="AQ82" s="205" t="s">
        <v>2210</v>
      </c>
      <c r="AR82" s="206" t="s">
        <v>2189</v>
      </c>
      <c r="AS82" s="193"/>
      <c r="AT82" s="193"/>
      <c r="AU82" s="193"/>
      <c r="AV82" s="193"/>
      <c r="AW82" s="193"/>
      <c r="AX82" s="193"/>
      <c r="AY82" s="193"/>
      <c r="AZ82" s="193"/>
      <c r="BA82" s="193"/>
      <c r="BB82" s="193"/>
      <c r="BC82" s="193"/>
      <c r="BD82" s="193"/>
      <c r="BE82" s="193"/>
      <c r="BF82" s="193"/>
      <c r="BG82" s="193"/>
      <c r="BH82" s="193"/>
      <c r="BI82" s="193"/>
      <c r="BJ82" s="193"/>
      <c r="BK82" s="193"/>
      <c r="BL82" s="193"/>
      <c r="BM82" s="193"/>
      <c r="BN82" s="193"/>
      <c r="BO82" s="193"/>
      <c r="BP82" s="193"/>
      <c r="BQ82" s="193"/>
      <c r="BR82" s="193"/>
      <c r="BS82" s="193"/>
      <c r="BT82" s="193"/>
      <c r="BU82" s="193"/>
    </row>
    <row r="83" spans="2:73" ht="39.75" customHeight="1" x14ac:dyDescent="0.25">
      <c r="B83" s="193"/>
      <c r="C83" s="194">
        <v>77</v>
      </c>
      <c r="D83" s="195" t="s">
        <v>2997</v>
      </c>
      <c r="E83" s="195" t="s">
        <v>2191</v>
      </c>
      <c r="F83" s="195" t="s">
        <v>2929</v>
      </c>
      <c r="G83" s="195" t="s">
        <v>2196</v>
      </c>
      <c r="H83" s="195" t="s">
        <v>2190</v>
      </c>
      <c r="I83" s="195" t="s">
        <v>2998</v>
      </c>
      <c r="J83" s="195" t="s">
        <v>2999</v>
      </c>
      <c r="K83" s="195" t="s">
        <v>3000</v>
      </c>
      <c r="L83" s="195" t="s">
        <v>2196</v>
      </c>
      <c r="M83" s="199"/>
      <c r="N83" s="199"/>
      <c r="O83" s="199"/>
      <c r="P83" s="199" t="s">
        <v>2199</v>
      </c>
      <c r="Q83" s="199" t="s">
        <v>3001</v>
      </c>
      <c r="R83" s="208" t="s">
        <v>3002</v>
      </c>
      <c r="S83" s="208"/>
      <c r="T83" s="182" t="s">
        <v>2890</v>
      </c>
      <c r="U83" s="182" t="s">
        <v>2523</v>
      </c>
      <c r="V83" s="209" t="s">
        <v>1999</v>
      </c>
      <c r="W83" s="209" t="s">
        <v>2923</v>
      </c>
      <c r="X83" s="209" t="s">
        <v>3003</v>
      </c>
      <c r="Y83" s="199" t="s">
        <v>2181</v>
      </c>
      <c r="Z83" s="199" t="s">
        <v>1908</v>
      </c>
      <c r="AA83" s="199" t="s">
        <v>2207</v>
      </c>
      <c r="AB83" s="199" t="s">
        <v>1800</v>
      </c>
      <c r="AC83" s="200" t="s">
        <v>1642</v>
      </c>
      <c r="AD83" s="200" t="s">
        <v>2183</v>
      </c>
      <c r="AE83" s="200" t="s">
        <v>1644</v>
      </c>
      <c r="AF83" s="200" t="s">
        <v>1981</v>
      </c>
      <c r="AG83" s="200" t="s">
        <v>1700</v>
      </c>
      <c r="AH83" s="200" t="s">
        <v>1749</v>
      </c>
      <c r="AI83" s="200" t="s">
        <v>1648</v>
      </c>
      <c r="AJ83" s="15" t="s">
        <v>3004</v>
      </c>
      <c r="AK83" s="201" t="s">
        <v>2185</v>
      </c>
      <c r="AL83" s="201" t="s">
        <v>2186</v>
      </c>
      <c r="AM83" s="201" t="s">
        <v>2209</v>
      </c>
      <c r="AN83" s="201" t="s">
        <v>1653</v>
      </c>
      <c r="AO83" s="201" t="s">
        <v>1654</v>
      </c>
      <c r="AP83" s="201" t="s">
        <v>1655</v>
      </c>
      <c r="AQ83" s="202" t="s">
        <v>2210</v>
      </c>
      <c r="AR83" s="203" t="s">
        <v>2189</v>
      </c>
      <c r="AS83" s="193"/>
      <c r="AT83" s="193"/>
      <c r="AU83" s="193"/>
      <c r="AV83" s="193"/>
      <c r="AW83" s="193"/>
      <c r="AX83" s="193"/>
      <c r="AY83" s="193"/>
      <c r="AZ83" s="193"/>
      <c r="BA83" s="193"/>
      <c r="BB83" s="193"/>
      <c r="BC83" s="193"/>
      <c r="BD83" s="193"/>
      <c r="BE83" s="193"/>
      <c r="BF83" s="193"/>
      <c r="BG83" s="193"/>
      <c r="BH83" s="193"/>
      <c r="BI83" s="193"/>
      <c r="BJ83" s="193"/>
      <c r="BK83" s="193"/>
      <c r="BL83" s="193"/>
      <c r="BM83" s="193"/>
      <c r="BN83" s="193"/>
      <c r="BO83" s="193"/>
      <c r="BP83" s="193"/>
      <c r="BQ83" s="193"/>
      <c r="BR83" s="193"/>
      <c r="BS83" s="193"/>
      <c r="BT83" s="193"/>
      <c r="BU83" s="193"/>
    </row>
    <row r="84" spans="2:73" ht="39.75" customHeight="1" x14ac:dyDescent="0.25">
      <c r="B84" s="193"/>
      <c r="C84" s="194">
        <v>78</v>
      </c>
      <c r="D84" s="195" t="s">
        <v>3005</v>
      </c>
      <c r="E84" s="195" t="s">
        <v>2955</v>
      </c>
      <c r="F84" s="195" t="s">
        <v>3006</v>
      </c>
      <c r="G84" s="195" t="s">
        <v>2941</v>
      </c>
      <c r="H84" s="195" t="s">
        <v>3005</v>
      </c>
      <c r="I84" s="195" t="s">
        <v>3007</v>
      </c>
      <c r="J84" s="195" t="s">
        <v>3008</v>
      </c>
      <c r="K84" s="195" t="s">
        <v>3009</v>
      </c>
      <c r="L84" s="195" t="s">
        <v>2473</v>
      </c>
      <c r="M84" s="195" t="s">
        <v>2397</v>
      </c>
      <c r="N84" s="196" t="s">
        <v>3010</v>
      </c>
      <c r="O84" s="195" t="s">
        <v>3011</v>
      </c>
      <c r="P84" s="195" t="s">
        <v>2964</v>
      </c>
      <c r="Q84" s="195" t="s">
        <v>3012</v>
      </c>
      <c r="R84" s="208" t="s">
        <v>3013</v>
      </c>
      <c r="S84" s="199"/>
      <c r="T84" s="182" t="s">
        <v>2497</v>
      </c>
      <c r="U84" s="182" t="s">
        <v>2890</v>
      </c>
      <c r="V84" s="209" t="s">
        <v>3014</v>
      </c>
      <c r="W84" s="209" t="s">
        <v>3015</v>
      </c>
      <c r="X84" s="209" t="s">
        <v>3016</v>
      </c>
      <c r="Y84" s="199" t="s">
        <v>1907</v>
      </c>
      <c r="Z84" s="199" t="s">
        <v>2137</v>
      </c>
      <c r="AA84" s="199" t="s">
        <v>1909</v>
      </c>
      <c r="AB84" s="199" t="s">
        <v>1800</v>
      </c>
      <c r="AC84" s="200" t="s">
        <v>2183</v>
      </c>
      <c r="AD84" s="200" t="s">
        <v>1718</v>
      </c>
      <c r="AE84" s="200" t="s">
        <v>1644</v>
      </c>
      <c r="AF84" s="200" t="s">
        <v>1699</v>
      </c>
      <c r="AG84" s="200" t="s">
        <v>1646</v>
      </c>
      <c r="AH84" s="200" t="s">
        <v>2163</v>
      </c>
      <c r="AI84" s="200" t="s">
        <v>1648</v>
      </c>
      <c r="AJ84" s="15" t="s">
        <v>3017</v>
      </c>
      <c r="AK84" s="204" t="s">
        <v>1913</v>
      </c>
      <c r="AL84" s="204" t="s">
        <v>1914</v>
      </c>
      <c r="AM84" s="204" t="s">
        <v>2209</v>
      </c>
      <c r="AN84" s="204" t="s">
        <v>1863</v>
      </c>
      <c r="AO84" s="204" t="s">
        <v>1654</v>
      </c>
      <c r="AP84" s="204" t="s">
        <v>1917</v>
      </c>
      <c r="AQ84" s="205" t="s">
        <v>2982</v>
      </c>
      <c r="AR84" s="206" t="s">
        <v>1919</v>
      </c>
      <c r="AS84" s="193"/>
      <c r="AT84" s="193"/>
      <c r="AU84" s="193"/>
      <c r="AV84" s="193"/>
      <c r="AW84" s="193"/>
      <c r="AX84" s="193"/>
      <c r="AY84" s="193"/>
      <c r="AZ84" s="193"/>
      <c r="BA84" s="193"/>
      <c r="BB84" s="193"/>
      <c r="BC84" s="193"/>
      <c r="BD84" s="193"/>
      <c r="BE84" s="193"/>
      <c r="BF84" s="193"/>
      <c r="BG84" s="193"/>
      <c r="BH84" s="193"/>
      <c r="BI84" s="193"/>
      <c r="BJ84" s="193"/>
      <c r="BK84" s="193"/>
      <c r="BL84" s="193"/>
      <c r="BM84" s="193"/>
      <c r="BN84" s="193"/>
      <c r="BO84" s="193"/>
      <c r="BP84" s="193"/>
      <c r="BQ84" s="193"/>
      <c r="BR84" s="193"/>
      <c r="BS84" s="193"/>
      <c r="BT84" s="193"/>
      <c r="BU84" s="193"/>
    </row>
    <row r="85" spans="2:73" ht="39.75" customHeight="1" x14ac:dyDescent="0.25">
      <c r="B85" s="193"/>
      <c r="C85" s="194">
        <v>79</v>
      </c>
      <c r="D85" s="195" t="s">
        <v>3018</v>
      </c>
      <c r="E85" s="195" t="s">
        <v>2214</v>
      </c>
      <c r="F85" s="195" t="s">
        <v>3019</v>
      </c>
      <c r="G85" s="195" t="s">
        <v>2368</v>
      </c>
      <c r="H85" s="195" t="s">
        <v>3020</v>
      </c>
      <c r="I85" s="195" t="s">
        <v>3021</v>
      </c>
      <c r="J85" s="195" t="s">
        <v>2215</v>
      </c>
      <c r="K85" s="195" t="s">
        <v>3022</v>
      </c>
      <c r="L85" s="195" t="s">
        <v>2217</v>
      </c>
      <c r="M85" s="195" t="s">
        <v>1815</v>
      </c>
      <c r="N85" s="195" t="s">
        <v>2456</v>
      </c>
      <c r="O85" s="195" t="s">
        <v>3023</v>
      </c>
      <c r="P85" s="195" t="s">
        <v>1629</v>
      </c>
      <c r="Q85" s="195" t="s">
        <v>3024</v>
      </c>
      <c r="R85" s="208" t="s">
        <v>3025</v>
      </c>
      <c r="S85" s="208"/>
      <c r="T85" s="182" t="s">
        <v>2224</v>
      </c>
      <c r="U85" s="182" t="s">
        <v>2740</v>
      </c>
      <c r="V85" s="209" t="s">
        <v>2935</v>
      </c>
      <c r="W85" s="209" t="s">
        <v>3026</v>
      </c>
      <c r="X85" s="209" t="s">
        <v>3027</v>
      </c>
      <c r="Y85" s="199" t="s">
        <v>1907</v>
      </c>
      <c r="Z85" s="199" t="s">
        <v>1908</v>
      </c>
      <c r="AA85" s="199" t="s">
        <v>1909</v>
      </c>
      <c r="AB85" s="199" t="s">
        <v>1800</v>
      </c>
      <c r="AC85" s="200" t="s">
        <v>1746</v>
      </c>
      <c r="AD85" s="200" t="s">
        <v>1718</v>
      </c>
      <c r="AE85" s="200" t="s">
        <v>1644</v>
      </c>
      <c r="AF85" s="200" t="s">
        <v>1645</v>
      </c>
      <c r="AG85" s="200" t="s">
        <v>1981</v>
      </c>
      <c r="AH85" s="200" t="s">
        <v>1677</v>
      </c>
      <c r="AI85" s="200" t="s">
        <v>1648</v>
      </c>
      <c r="AJ85" s="15" t="s">
        <v>3028</v>
      </c>
      <c r="AK85" s="201" t="s">
        <v>1913</v>
      </c>
      <c r="AL85" s="201" t="s">
        <v>1914</v>
      </c>
      <c r="AM85" s="201" t="s">
        <v>1652</v>
      </c>
      <c r="AN85" s="201" t="s">
        <v>1863</v>
      </c>
      <c r="AO85" s="201" t="s">
        <v>2230</v>
      </c>
      <c r="AP85" s="201" t="s">
        <v>1917</v>
      </c>
      <c r="AQ85" s="202" t="s">
        <v>2231</v>
      </c>
      <c r="AR85" s="203" t="s">
        <v>1919</v>
      </c>
      <c r="AS85" s="193"/>
      <c r="AT85" s="193"/>
      <c r="AU85" s="193"/>
      <c r="AV85" s="193"/>
      <c r="AW85" s="193"/>
      <c r="AX85" s="193"/>
      <c r="AY85" s="193"/>
      <c r="AZ85" s="193"/>
      <c r="BA85" s="193"/>
      <c r="BB85" s="193"/>
      <c r="BC85" s="193"/>
      <c r="BD85" s="193"/>
      <c r="BE85" s="193"/>
      <c r="BF85" s="193"/>
      <c r="BG85" s="193"/>
      <c r="BH85" s="193"/>
      <c r="BI85" s="193"/>
      <c r="BJ85" s="193"/>
      <c r="BK85" s="193"/>
      <c r="BL85" s="193"/>
      <c r="BM85" s="193"/>
      <c r="BN85" s="193"/>
      <c r="BO85" s="193"/>
      <c r="BP85" s="193"/>
      <c r="BQ85" s="193"/>
      <c r="BR85" s="193"/>
      <c r="BS85" s="193"/>
      <c r="BT85" s="193"/>
      <c r="BU85" s="193"/>
    </row>
    <row r="86" spans="2:73" ht="39.75" customHeight="1" x14ac:dyDescent="0.25">
      <c r="B86" s="193"/>
      <c r="C86" s="194">
        <v>80</v>
      </c>
      <c r="D86" s="195" t="s">
        <v>3029</v>
      </c>
      <c r="E86" s="195" t="s">
        <v>1783</v>
      </c>
      <c r="F86" s="195" t="s">
        <v>3030</v>
      </c>
      <c r="G86" s="195" t="s">
        <v>3031</v>
      </c>
      <c r="H86" s="195" t="s">
        <v>3032</v>
      </c>
      <c r="I86" s="195" t="s">
        <v>1943</v>
      </c>
      <c r="J86" s="195" t="s">
        <v>1944</v>
      </c>
      <c r="K86" s="195" t="s">
        <v>3033</v>
      </c>
      <c r="L86" s="195" t="s">
        <v>1789</v>
      </c>
      <c r="M86" s="199"/>
      <c r="N86" s="199"/>
      <c r="O86" s="199"/>
      <c r="P86" s="199" t="s">
        <v>1948</v>
      </c>
      <c r="Q86" s="199" t="s">
        <v>3034</v>
      </c>
      <c r="R86" s="208" t="s">
        <v>3035</v>
      </c>
      <c r="S86" s="199"/>
      <c r="T86" s="182" t="s">
        <v>2602</v>
      </c>
      <c r="U86" s="182" t="s">
        <v>3036</v>
      </c>
      <c r="V86" s="209" t="s">
        <v>3037</v>
      </c>
      <c r="W86" s="209" t="s">
        <v>3038</v>
      </c>
      <c r="X86" s="209" t="s">
        <v>3039</v>
      </c>
      <c r="Y86" s="199" t="s">
        <v>1907</v>
      </c>
      <c r="Z86" s="199" t="s">
        <v>1908</v>
      </c>
      <c r="AA86" s="199" t="s">
        <v>1909</v>
      </c>
      <c r="AB86" s="199" t="s">
        <v>1800</v>
      </c>
      <c r="AC86" s="200" t="s">
        <v>1746</v>
      </c>
      <c r="AD86" s="200" t="s">
        <v>1718</v>
      </c>
      <c r="AE86" s="200" t="s">
        <v>1644</v>
      </c>
      <c r="AF86" s="200" t="s">
        <v>1885</v>
      </c>
      <c r="AG86" s="200" t="s">
        <v>1700</v>
      </c>
      <c r="AH86" s="200" t="s">
        <v>1778</v>
      </c>
      <c r="AI86" s="200" t="s">
        <v>1648</v>
      </c>
      <c r="AJ86" s="15" t="s">
        <v>3040</v>
      </c>
      <c r="AK86" s="204" t="s">
        <v>1860</v>
      </c>
      <c r="AL86" s="204" t="s">
        <v>1861</v>
      </c>
      <c r="AM86" s="204" t="s">
        <v>1652</v>
      </c>
      <c r="AN86" s="204" t="s">
        <v>1863</v>
      </c>
      <c r="AO86" s="204" t="s">
        <v>1654</v>
      </c>
      <c r="AP86" s="204" t="s">
        <v>1754</v>
      </c>
      <c r="AQ86" s="205" t="s">
        <v>1887</v>
      </c>
      <c r="AR86" s="206" t="s">
        <v>1865</v>
      </c>
      <c r="AS86" s="193"/>
      <c r="AT86" s="193"/>
      <c r="AU86" s="193"/>
      <c r="AV86" s="193"/>
      <c r="AW86" s="193"/>
      <c r="AX86" s="193"/>
      <c r="AY86" s="193"/>
      <c r="AZ86" s="193"/>
      <c r="BA86" s="193"/>
      <c r="BB86" s="193"/>
      <c r="BC86" s="193"/>
      <c r="BD86" s="193"/>
      <c r="BE86" s="193"/>
      <c r="BF86" s="193"/>
      <c r="BG86" s="193"/>
      <c r="BH86" s="193"/>
      <c r="BI86" s="193"/>
      <c r="BJ86" s="193"/>
      <c r="BK86" s="193"/>
      <c r="BL86" s="193"/>
      <c r="BM86" s="193"/>
      <c r="BN86" s="193"/>
      <c r="BO86" s="193"/>
      <c r="BP86" s="193"/>
      <c r="BQ86" s="193"/>
      <c r="BR86" s="193"/>
      <c r="BS86" s="193"/>
      <c r="BT86" s="193"/>
      <c r="BU86" s="193"/>
    </row>
    <row r="87" spans="2:73" ht="39.75" customHeight="1" x14ac:dyDescent="0.25">
      <c r="B87" s="193"/>
      <c r="C87" s="194">
        <v>81</v>
      </c>
      <c r="D87" s="195" t="s">
        <v>3041</v>
      </c>
      <c r="E87" s="195" t="s">
        <v>1811</v>
      </c>
      <c r="F87" s="195" t="s">
        <v>3042</v>
      </c>
      <c r="G87" s="195" t="s">
        <v>2368</v>
      </c>
      <c r="H87" s="195" t="s">
        <v>3041</v>
      </c>
      <c r="I87" s="195" t="s">
        <v>1811</v>
      </c>
      <c r="J87" s="195" t="s">
        <v>3043</v>
      </c>
      <c r="K87" s="195" t="s">
        <v>3044</v>
      </c>
      <c r="L87" s="195" t="s">
        <v>2368</v>
      </c>
      <c r="M87" s="195" t="s">
        <v>3045</v>
      </c>
      <c r="N87" s="195" t="s">
        <v>3046</v>
      </c>
      <c r="O87" s="195" t="s">
        <v>3047</v>
      </c>
      <c r="P87" s="195" t="s">
        <v>3048</v>
      </c>
      <c r="Q87" s="195" t="s">
        <v>3049</v>
      </c>
      <c r="R87" s="208" t="s">
        <v>3050</v>
      </c>
      <c r="S87" s="199"/>
      <c r="T87" s="182" t="s">
        <v>2740</v>
      </c>
      <c r="U87" s="182" t="s">
        <v>2371</v>
      </c>
      <c r="V87" s="210" t="s">
        <v>3051</v>
      </c>
      <c r="W87" s="209" t="s">
        <v>3052</v>
      </c>
      <c r="X87" s="209" t="s">
        <v>3053</v>
      </c>
      <c r="Y87" s="200" t="s">
        <v>1907</v>
      </c>
      <c r="Z87" s="199" t="s">
        <v>1908</v>
      </c>
      <c r="AA87" s="199" t="s">
        <v>1909</v>
      </c>
      <c r="AB87" s="199" t="s">
        <v>1800</v>
      </c>
      <c r="AC87" s="200" t="s">
        <v>1746</v>
      </c>
      <c r="AD87" s="200" t="s">
        <v>1718</v>
      </c>
      <c r="AE87" s="200" t="s">
        <v>1644</v>
      </c>
      <c r="AF87" s="200" t="s">
        <v>1981</v>
      </c>
      <c r="AG87" s="200" t="s">
        <v>1981</v>
      </c>
      <c r="AH87" s="200" t="s">
        <v>1863</v>
      </c>
      <c r="AI87" s="200" t="s">
        <v>1648</v>
      </c>
      <c r="AJ87" s="15" t="s">
        <v>3054</v>
      </c>
      <c r="AK87" s="201" t="s">
        <v>1913</v>
      </c>
      <c r="AL87" s="201" t="s">
        <v>1914</v>
      </c>
      <c r="AM87" s="201" t="s">
        <v>1652</v>
      </c>
      <c r="AN87" s="201" t="s">
        <v>1863</v>
      </c>
      <c r="AO87" s="201" t="s">
        <v>2230</v>
      </c>
      <c r="AP87" s="201" t="s">
        <v>1917</v>
      </c>
      <c r="AQ87" s="202" t="s">
        <v>2231</v>
      </c>
      <c r="AR87" s="203" t="s">
        <v>1919</v>
      </c>
      <c r="AS87" s="193"/>
      <c r="AT87" s="193"/>
      <c r="AU87" s="193"/>
      <c r="AV87" s="193"/>
      <c r="AW87" s="193"/>
      <c r="AX87" s="193"/>
      <c r="AY87" s="193"/>
      <c r="AZ87" s="193"/>
      <c r="BA87" s="193"/>
      <c r="BB87" s="193"/>
      <c r="BC87" s="193"/>
      <c r="BD87" s="193"/>
      <c r="BE87" s="193"/>
      <c r="BF87" s="193"/>
      <c r="BG87" s="193"/>
      <c r="BH87" s="193"/>
      <c r="BI87" s="193"/>
      <c r="BJ87" s="193"/>
      <c r="BK87" s="193"/>
      <c r="BL87" s="193"/>
      <c r="BM87" s="193"/>
      <c r="BN87" s="193"/>
      <c r="BO87" s="193"/>
      <c r="BP87" s="193"/>
      <c r="BQ87" s="193"/>
      <c r="BR87" s="193"/>
      <c r="BS87" s="193"/>
      <c r="BT87" s="193"/>
      <c r="BU87" s="193"/>
    </row>
    <row r="88" spans="2:73" ht="39.75" customHeight="1" x14ac:dyDescent="0.25">
      <c r="B88" s="193"/>
      <c r="C88" s="194">
        <v>82</v>
      </c>
      <c r="D88" s="195" t="s">
        <v>3055</v>
      </c>
      <c r="E88" s="195" t="s">
        <v>2007</v>
      </c>
      <c r="F88" s="195" t="s">
        <v>2035</v>
      </c>
      <c r="G88" s="195" t="s">
        <v>3056</v>
      </c>
      <c r="H88" s="195" t="s">
        <v>3057</v>
      </c>
      <c r="I88" s="195" t="s">
        <v>3058</v>
      </c>
      <c r="J88" s="195" t="s">
        <v>3059</v>
      </c>
      <c r="K88" s="195" t="s">
        <v>3044</v>
      </c>
      <c r="L88" s="195" t="s">
        <v>2041</v>
      </c>
      <c r="M88" s="195" t="s">
        <v>2013</v>
      </c>
      <c r="N88" s="195" t="s">
        <v>3060</v>
      </c>
      <c r="O88" s="195" t="s">
        <v>3056</v>
      </c>
      <c r="P88" s="195" t="s">
        <v>2062</v>
      </c>
      <c r="Q88" s="195" t="s">
        <v>3061</v>
      </c>
      <c r="R88" s="208" t="s">
        <v>3062</v>
      </c>
      <c r="S88" s="199"/>
      <c r="T88" s="182" t="s">
        <v>2740</v>
      </c>
      <c r="U88" s="182" t="s">
        <v>3063</v>
      </c>
      <c r="V88" s="210" t="s">
        <v>3064</v>
      </c>
      <c r="W88" s="209" t="s">
        <v>3065</v>
      </c>
      <c r="X88" s="209" t="s">
        <v>3066</v>
      </c>
      <c r="Y88" s="199" t="s">
        <v>1907</v>
      </c>
      <c r="Z88" s="199" t="s">
        <v>1908</v>
      </c>
      <c r="AA88" s="199" t="s">
        <v>1909</v>
      </c>
      <c r="AB88" s="199" t="s">
        <v>1800</v>
      </c>
      <c r="AC88" s="200" t="s">
        <v>2028</v>
      </c>
      <c r="AD88" s="200" t="s">
        <v>1718</v>
      </c>
      <c r="AE88" s="200" t="s">
        <v>2030</v>
      </c>
      <c r="AF88" s="200" t="s">
        <v>2320</v>
      </c>
      <c r="AG88" s="200" t="s">
        <v>1646</v>
      </c>
      <c r="AH88" s="200" t="s">
        <v>1863</v>
      </c>
      <c r="AI88" s="200" t="s">
        <v>1648</v>
      </c>
      <c r="AJ88" s="15" t="s">
        <v>3067</v>
      </c>
      <c r="AK88" s="204" t="s">
        <v>1751</v>
      </c>
      <c r="AL88" s="204" t="s">
        <v>1752</v>
      </c>
      <c r="AM88" s="204" t="s">
        <v>1915</v>
      </c>
      <c r="AN88" s="204" t="s">
        <v>1863</v>
      </c>
      <c r="AO88" s="204" t="s">
        <v>1654</v>
      </c>
      <c r="AP88" s="204" t="s">
        <v>1754</v>
      </c>
      <c r="AQ88" s="205" t="s">
        <v>2360</v>
      </c>
      <c r="AR88" s="206" t="s">
        <v>1756</v>
      </c>
      <c r="AS88" s="193"/>
      <c r="AT88" s="193"/>
      <c r="AU88" s="193"/>
      <c r="AV88" s="193"/>
      <c r="AW88" s="193"/>
      <c r="AX88" s="193"/>
      <c r="AY88" s="193"/>
      <c r="AZ88" s="193"/>
      <c r="BA88" s="193"/>
      <c r="BB88" s="193"/>
      <c r="BC88" s="193"/>
      <c r="BD88" s="193"/>
      <c r="BE88" s="193"/>
      <c r="BF88" s="193"/>
      <c r="BG88" s="193"/>
      <c r="BH88" s="193"/>
      <c r="BI88" s="193"/>
      <c r="BJ88" s="193"/>
      <c r="BK88" s="193"/>
      <c r="BL88" s="193"/>
      <c r="BM88" s="193"/>
      <c r="BN88" s="193"/>
      <c r="BO88" s="193"/>
      <c r="BP88" s="193"/>
      <c r="BQ88" s="193"/>
      <c r="BR88" s="193"/>
      <c r="BS88" s="193"/>
      <c r="BT88" s="193"/>
      <c r="BU88" s="193"/>
    </row>
    <row r="89" spans="2:73" ht="39.75" customHeight="1" x14ac:dyDescent="0.25">
      <c r="B89" s="193"/>
      <c r="C89" s="194">
        <v>83</v>
      </c>
      <c r="D89" s="195" t="s">
        <v>3068</v>
      </c>
      <c r="E89" s="195" t="s">
        <v>3069</v>
      </c>
      <c r="F89" s="195" t="s">
        <v>3070</v>
      </c>
      <c r="G89" s="195" t="s">
        <v>2220</v>
      </c>
      <c r="H89" s="195" t="s">
        <v>3071</v>
      </c>
      <c r="I89" s="195" t="s">
        <v>3072</v>
      </c>
      <c r="J89" s="195" t="s">
        <v>3073</v>
      </c>
      <c r="K89" s="195" t="s">
        <v>3074</v>
      </c>
      <c r="L89" s="195" t="s">
        <v>3075</v>
      </c>
      <c r="M89" s="195" t="s">
        <v>2218</v>
      </c>
      <c r="N89" s="195" t="s">
        <v>3076</v>
      </c>
      <c r="O89" s="195" t="s">
        <v>3077</v>
      </c>
      <c r="P89" s="195" t="s">
        <v>3078</v>
      </c>
      <c r="Q89" s="195" t="s">
        <v>3079</v>
      </c>
      <c r="R89" s="208" t="s">
        <v>3080</v>
      </c>
      <c r="S89" s="199"/>
      <c r="T89" s="182" t="s">
        <v>3036</v>
      </c>
      <c r="U89" s="182" t="s">
        <v>2740</v>
      </c>
      <c r="V89" s="210" t="s">
        <v>3081</v>
      </c>
      <c r="W89" s="209" t="s">
        <v>3082</v>
      </c>
      <c r="X89" s="209" t="s">
        <v>3083</v>
      </c>
      <c r="Y89" s="199" t="s">
        <v>1907</v>
      </c>
      <c r="Z89" s="199" t="s">
        <v>1908</v>
      </c>
      <c r="AA89" s="199" t="s">
        <v>1909</v>
      </c>
      <c r="AB89" s="199" t="s">
        <v>1800</v>
      </c>
      <c r="AC89" s="200" t="s">
        <v>1746</v>
      </c>
      <c r="AD89" s="200" t="s">
        <v>1718</v>
      </c>
      <c r="AE89" s="200" t="s">
        <v>1644</v>
      </c>
      <c r="AF89" s="200" t="s">
        <v>1719</v>
      </c>
      <c r="AG89" s="200" t="s">
        <v>1777</v>
      </c>
      <c r="AH89" s="200" t="s">
        <v>1677</v>
      </c>
      <c r="AI89" s="200" t="s">
        <v>1648</v>
      </c>
      <c r="AJ89" s="15" t="s">
        <v>3084</v>
      </c>
      <c r="AK89" s="201" t="s">
        <v>1829</v>
      </c>
      <c r="AL89" s="201" t="s">
        <v>1830</v>
      </c>
      <c r="AM89" s="201" t="s">
        <v>1780</v>
      </c>
      <c r="AN89" s="201" t="s">
        <v>1653</v>
      </c>
      <c r="AO89" s="201" t="s">
        <v>1654</v>
      </c>
      <c r="AP89" s="201" t="s">
        <v>1655</v>
      </c>
      <c r="AQ89" s="202" t="s">
        <v>3085</v>
      </c>
      <c r="AR89" s="203" t="s">
        <v>1832</v>
      </c>
      <c r="AS89" s="193"/>
      <c r="AT89" s="193"/>
      <c r="AU89" s="193"/>
      <c r="AV89" s="193"/>
      <c r="AW89" s="193"/>
      <c r="AX89" s="193"/>
      <c r="AY89" s="193"/>
      <c r="AZ89" s="193"/>
      <c r="BA89" s="193"/>
      <c r="BB89" s="193"/>
      <c r="BC89" s="193"/>
      <c r="BD89" s="193"/>
      <c r="BE89" s="193"/>
      <c r="BF89" s="193"/>
      <c r="BG89" s="193"/>
      <c r="BH89" s="193"/>
      <c r="BI89" s="193"/>
      <c r="BJ89" s="193"/>
      <c r="BK89" s="193"/>
      <c r="BL89" s="193"/>
      <c r="BM89" s="193"/>
      <c r="BN89" s="193"/>
      <c r="BO89" s="193"/>
      <c r="BP89" s="193"/>
      <c r="BQ89" s="193"/>
      <c r="BR89" s="193"/>
      <c r="BS89" s="193"/>
      <c r="BT89" s="193"/>
      <c r="BU89" s="193"/>
    </row>
    <row r="90" spans="2:73" ht="39.75" customHeight="1" x14ac:dyDescent="0.25">
      <c r="B90" s="193"/>
      <c r="C90" s="194">
        <v>84</v>
      </c>
      <c r="D90" s="195" t="s">
        <v>3086</v>
      </c>
      <c r="E90" s="195" t="s">
        <v>1960</v>
      </c>
      <c r="F90" s="195" t="s">
        <v>2120</v>
      </c>
      <c r="G90" s="195" t="s">
        <v>1966</v>
      </c>
      <c r="H90" s="195" t="s">
        <v>3086</v>
      </c>
      <c r="I90" s="195" t="s">
        <v>1960</v>
      </c>
      <c r="J90" s="195" t="s">
        <v>2859</v>
      </c>
      <c r="K90" s="195" t="s">
        <v>3087</v>
      </c>
      <c r="L90" s="195" t="s">
        <v>1966</v>
      </c>
      <c r="M90" s="195" t="s">
        <v>1967</v>
      </c>
      <c r="N90" s="196" t="s">
        <v>3088</v>
      </c>
      <c r="O90" s="195" t="s">
        <v>3089</v>
      </c>
      <c r="P90" s="195" t="s">
        <v>3090</v>
      </c>
      <c r="Q90" s="195" t="s">
        <v>3091</v>
      </c>
      <c r="R90" s="208" t="s">
        <v>3092</v>
      </c>
      <c r="S90" s="199"/>
      <c r="T90" s="182" t="s">
        <v>2497</v>
      </c>
      <c r="U90" s="182" t="s">
        <v>2890</v>
      </c>
      <c r="V90" s="210" t="s">
        <v>3093</v>
      </c>
      <c r="W90" s="209" t="s">
        <v>3094</v>
      </c>
      <c r="X90" s="209" t="s">
        <v>3095</v>
      </c>
      <c r="Y90" s="199" t="s">
        <v>1977</v>
      </c>
      <c r="Z90" s="199" t="s">
        <v>1908</v>
      </c>
      <c r="AA90" s="199" t="s">
        <v>1909</v>
      </c>
      <c r="AB90" s="199" t="s">
        <v>1800</v>
      </c>
      <c r="AC90" s="200" t="s">
        <v>2140</v>
      </c>
      <c r="AD90" s="200" t="s">
        <v>1718</v>
      </c>
      <c r="AE90" s="200" t="s">
        <v>1644</v>
      </c>
      <c r="AF90" s="200" t="s">
        <v>1981</v>
      </c>
      <c r="AG90" s="200" t="s">
        <v>1857</v>
      </c>
      <c r="AH90" s="200" t="s">
        <v>1778</v>
      </c>
      <c r="AI90" s="200" t="s">
        <v>1648</v>
      </c>
      <c r="AJ90" s="15" t="s">
        <v>3096</v>
      </c>
      <c r="AK90" s="204" t="s">
        <v>1915</v>
      </c>
      <c r="AL90" s="204" t="s">
        <v>1984</v>
      </c>
      <c r="AM90" s="204" t="s">
        <v>1915</v>
      </c>
      <c r="AN90" s="204" t="s">
        <v>1863</v>
      </c>
      <c r="AO90" s="204" t="s">
        <v>1654</v>
      </c>
      <c r="AP90" s="204" t="s">
        <v>1917</v>
      </c>
      <c r="AQ90" s="205" t="s">
        <v>3097</v>
      </c>
      <c r="AR90" s="206" t="s">
        <v>1986</v>
      </c>
      <c r="AS90" s="193"/>
      <c r="AT90" s="193"/>
      <c r="AU90" s="193"/>
      <c r="AV90" s="193"/>
      <c r="AW90" s="193"/>
      <c r="AX90" s="193"/>
      <c r="AY90" s="193"/>
      <c r="AZ90" s="193"/>
      <c r="BA90" s="193"/>
      <c r="BB90" s="193"/>
      <c r="BC90" s="193"/>
      <c r="BD90" s="193"/>
      <c r="BE90" s="193"/>
      <c r="BF90" s="193"/>
      <c r="BG90" s="193"/>
      <c r="BH90" s="193"/>
      <c r="BI90" s="193"/>
      <c r="BJ90" s="193"/>
      <c r="BK90" s="193"/>
      <c r="BL90" s="193"/>
      <c r="BM90" s="193"/>
      <c r="BN90" s="193"/>
      <c r="BO90" s="193"/>
      <c r="BP90" s="193"/>
      <c r="BQ90" s="193"/>
      <c r="BR90" s="193"/>
      <c r="BS90" s="193"/>
      <c r="BT90" s="193"/>
      <c r="BU90" s="193"/>
    </row>
    <row r="91" spans="2:73" ht="39.75" customHeight="1" x14ac:dyDescent="0.25">
      <c r="B91" s="193"/>
      <c r="C91" s="194">
        <v>85</v>
      </c>
      <c r="D91" s="195" t="s">
        <v>3098</v>
      </c>
      <c r="E91" s="195" t="s">
        <v>3099</v>
      </c>
      <c r="F91" s="195" t="s">
        <v>2148</v>
      </c>
      <c r="G91" s="195" t="s">
        <v>2873</v>
      </c>
      <c r="H91" s="195" t="s">
        <v>3100</v>
      </c>
      <c r="I91" s="195" t="s">
        <v>3101</v>
      </c>
      <c r="J91" s="195" t="s">
        <v>3102</v>
      </c>
      <c r="K91" s="195" t="s">
        <v>3103</v>
      </c>
      <c r="L91" s="195" t="s">
        <v>2930</v>
      </c>
      <c r="M91" s="195" t="s">
        <v>2218</v>
      </c>
      <c r="N91" s="195" t="s">
        <v>3104</v>
      </c>
      <c r="O91" s="195" t="s">
        <v>3105</v>
      </c>
      <c r="P91" s="195" t="s">
        <v>2313</v>
      </c>
      <c r="Q91" s="195" t="s">
        <v>3106</v>
      </c>
      <c r="R91" s="208" t="s">
        <v>3107</v>
      </c>
      <c r="S91" s="199"/>
      <c r="T91" s="182" t="s">
        <v>2497</v>
      </c>
      <c r="U91" s="182" t="s">
        <v>2681</v>
      </c>
      <c r="V91" s="210" t="s">
        <v>3108</v>
      </c>
      <c r="W91" s="209" t="s">
        <v>3109</v>
      </c>
      <c r="X91" s="209" t="s">
        <v>3110</v>
      </c>
      <c r="Y91" s="199" t="s">
        <v>1907</v>
      </c>
      <c r="Z91" s="199" t="s">
        <v>2137</v>
      </c>
      <c r="AA91" s="199" t="s">
        <v>1909</v>
      </c>
      <c r="AB91" s="199" t="s">
        <v>1800</v>
      </c>
      <c r="AC91" s="200" t="s">
        <v>1746</v>
      </c>
      <c r="AD91" s="200" t="s">
        <v>1718</v>
      </c>
      <c r="AE91" s="200" t="s">
        <v>1644</v>
      </c>
      <c r="AF91" s="200" t="s">
        <v>1653</v>
      </c>
      <c r="AG91" s="200" t="s">
        <v>1777</v>
      </c>
      <c r="AH91" s="200" t="s">
        <v>3111</v>
      </c>
      <c r="AI91" s="200" t="s">
        <v>1648</v>
      </c>
      <c r="AJ91" s="15" t="s">
        <v>3112</v>
      </c>
      <c r="AK91" s="201" t="s">
        <v>1913</v>
      </c>
      <c r="AL91" s="201" t="s">
        <v>1914</v>
      </c>
      <c r="AM91" s="201" t="s">
        <v>1915</v>
      </c>
      <c r="AN91" s="201" t="s">
        <v>1863</v>
      </c>
      <c r="AO91" s="201" t="s">
        <v>1654</v>
      </c>
      <c r="AP91" s="201" t="s">
        <v>1917</v>
      </c>
      <c r="AQ91" s="202" t="s">
        <v>3113</v>
      </c>
      <c r="AR91" s="203" t="s">
        <v>1919</v>
      </c>
      <c r="AS91" s="193"/>
      <c r="AT91" s="193"/>
      <c r="AU91" s="193"/>
      <c r="AV91" s="193"/>
      <c r="AW91" s="193"/>
      <c r="AX91" s="193"/>
      <c r="AY91" s="193"/>
      <c r="AZ91" s="193"/>
      <c r="BA91" s="193"/>
      <c r="BB91" s="193"/>
      <c r="BC91" s="193"/>
      <c r="BD91" s="193"/>
      <c r="BE91" s="193"/>
      <c r="BF91" s="193"/>
      <c r="BG91" s="193"/>
      <c r="BH91" s="193"/>
      <c r="BI91" s="193"/>
      <c r="BJ91" s="193"/>
      <c r="BK91" s="193"/>
      <c r="BL91" s="193"/>
      <c r="BM91" s="193"/>
      <c r="BN91" s="193"/>
      <c r="BO91" s="193"/>
      <c r="BP91" s="193"/>
      <c r="BQ91" s="193"/>
      <c r="BR91" s="193"/>
      <c r="BS91" s="193"/>
      <c r="BT91" s="193"/>
      <c r="BU91" s="193"/>
    </row>
    <row r="92" spans="2:73" ht="39.75" customHeight="1" x14ac:dyDescent="0.25">
      <c r="B92" s="193"/>
      <c r="C92" s="194">
        <v>86</v>
      </c>
      <c r="D92" s="195" t="s">
        <v>3114</v>
      </c>
      <c r="E92" s="195" t="s">
        <v>1783</v>
      </c>
      <c r="F92" s="195" t="s">
        <v>3115</v>
      </c>
      <c r="G92" s="195" t="s">
        <v>2930</v>
      </c>
      <c r="H92" s="195" t="s">
        <v>3114</v>
      </c>
      <c r="I92" s="195" t="s">
        <v>3116</v>
      </c>
      <c r="J92" s="195" t="s">
        <v>3117</v>
      </c>
      <c r="K92" s="195" t="s">
        <v>3103</v>
      </c>
      <c r="L92" s="195" t="s">
        <v>3118</v>
      </c>
      <c r="M92" s="195" t="s">
        <v>2218</v>
      </c>
      <c r="N92" s="195" t="s">
        <v>3119</v>
      </c>
      <c r="O92" s="195" t="s">
        <v>3120</v>
      </c>
      <c r="P92" s="195" t="s">
        <v>1899</v>
      </c>
      <c r="Q92" s="195" t="s">
        <v>3121</v>
      </c>
      <c r="R92" s="208" t="s">
        <v>3122</v>
      </c>
      <c r="S92" s="199"/>
      <c r="T92" s="182" t="s">
        <v>2740</v>
      </c>
      <c r="U92" s="182" t="s">
        <v>2681</v>
      </c>
      <c r="V92" s="210" t="s">
        <v>3123</v>
      </c>
      <c r="W92" s="209" t="s">
        <v>3124</v>
      </c>
      <c r="X92" s="209" t="s">
        <v>3125</v>
      </c>
      <c r="Y92" s="199" t="s">
        <v>1907</v>
      </c>
      <c r="Z92" s="199" t="s">
        <v>1908</v>
      </c>
      <c r="AA92" s="199" t="s">
        <v>1909</v>
      </c>
      <c r="AB92" s="199" t="s">
        <v>1800</v>
      </c>
      <c r="AC92" s="200" t="s">
        <v>1746</v>
      </c>
      <c r="AD92" s="200" t="s">
        <v>1718</v>
      </c>
      <c r="AE92" s="200" t="s">
        <v>1644</v>
      </c>
      <c r="AF92" s="200" t="s">
        <v>2320</v>
      </c>
      <c r="AG92" s="200" t="s">
        <v>1857</v>
      </c>
      <c r="AH92" s="200" t="s">
        <v>1677</v>
      </c>
      <c r="AI92" s="200" t="s">
        <v>1648</v>
      </c>
      <c r="AJ92" s="15" t="s">
        <v>3126</v>
      </c>
      <c r="AK92" s="204" t="s">
        <v>1913</v>
      </c>
      <c r="AL92" s="204" t="s">
        <v>1914</v>
      </c>
      <c r="AM92" s="204" t="s">
        <v>1915</v>
      </c>
      <c r="AN92" s="204" t="s">
        <v>1863</v>
      </c>
      <c r="AO92" s="204" t="s">
        <v>1654</v>
      </c>
      <c r="AP92" s="204" t="s">
        <v>1917</v>
      </c>
      <c r="AQ92" s="205" t="s">
        <v>3113</v>
      </c>
      <c r="AR92" s="206" t="s">
        <v>1919</v>
      </c>
      <c r="AS92" s="193"/>
      <c r="AT92" s="193"/>
      <c r="AU92" s="193"/>
      <c r="AV92" s="193"/>
      <c r="AW92" s="193"/>
      <c r="AX92" s="193"/>
      <c r="AY92" s="193"/>
      <c r="AZ92" s="193"/>
      <c r="BA92" s="193"/>
      <c r="BB92" s="193"/>
      <c r="BC92" s="193"/>
      <c r="BD92" s="193"/>
      <c r="BE92" s="193"/>
      <c r="BF92" s="193"/>
      <c r="BG92" s="193"/>
      <c r="BH92" s="193"/>
      <c r="BI92" s="193"/>
      <c r="BJ92" s="193"/>
      <c r="BK92" s="193"/>
      <c r="BL92" s="193"/>
      <c r="BM92" s="193"/>
      <c r="BN92" s="193"/>
      <c r="BO92" s="193"/>
      <c r="BP92" s="193"/>
      <c r="BQ92" s="193"/>
      <c r="BR92" s="193"/>
      <c r="BS92" s="193"/>
      <c r="BT92" s="193"/>
      <c r="BU92" s="193"/>
    </row>
    <row r="93" spans="2:73" ht="39.75" customHeight="1" x14ac:dyDescent="0.25">
      <c r="B93" s="193"/>
      <c r="C93" s="194">
        <v>87</v>
      </c>
      <c r="D93" s="195" t="s">
        <v>3127</v>
      </c>
      <c r="E93" s="195" t="s">
        <v>2544</v>
      </c>
      <c r="F93" s="195" t="s">
        <v>2578</v>
      </c>
      <c r="G93" s="195" t="s">
        <v>3128</v>
      </c>
      <c r="H93" s="195" t="s">
        <v>3129</v>
      </c>
      <c r="I93" s="195" t="s">
        <v>3130</v>
      </c>
      <c r="J93" s="195" t="s">
        <v>3131</v>
      </c>
      <c r="K93" s="195" t="s">
        <v>3132</v>
      </c>
      <c r="L93" s="195" t="s">
        <v>2550</v>
      </c>
      <c r="M93" s="199"/>
      <c r="N93" s="199"/>
      <c r="O93" s="199"/>
      <c r="P93" s="199" t="s">
        <v>1629</v>
      </c>
      <c r="Q93" s="199" t="s">
        <v>3133</v>
      </c>
      <c r="R93" s="208" t="s">
        <v>3134</v>
      </c>
      <c r="S93" s="199"/>
      <c r="T93" s="182" t="s">
        <v>2740</v>
      </c>
      <c r="U93" s="182" t="s">
        <v>2681</v>
      </c>
      <c r="V93" s="210" t="s">
        <v>3135</v>
      </c>
      <c r="W93" s="209" t="s">
        <v>3136</v>
      </c>
      <c r="X93" s="209" t="s">
        <v>3137</v>
      </c>
      <c r="Y93" s="199" t="s">
        <v>1907</v>
      </c>
      <c r="Z93" s="199" t="s">
        <v>1908</v>
      </c>
      <c r="AA93" s="199" t="s">
        <v>1909</v>
      </c>
      <c r="AB93" s="199" t="s">
        <v>1800</v>
      </c>
      <c r="AC93" s="200" t="s">
        <v>1746</v>
      </c>
      <c r="AD93" s="200" t="s">
        <v>1718</v>
      </c>
      <c r="AE93" s="200" t="s">
        <v>1644</v>
      </c>
      <c r="AF93" s="200" t="s">
        <v>1699</v>
      </c>
      <c r="AG93" s="200" t="s">
        <v>1678</v>
      </c>
      <c r="AH93" s="200" t="s">
        <v>1778</v>
      </c>
      <c r="AI93" s="200" t="s">
        <v>1648</v>
      </c>
      <c r="AJ93" s="15" t="s">
        <v>3138</v>
      </c>
      <c r="AK93" s="201" t="s">
        <v>1913</v>
      </c>
      <c r="AL93" s="201" t="s">
        <v>1914</v>
      </c>
      <c r="AM93" s="201" t="s">
        <v>1652</v>
      </c>
      <c r="AN93" s="201" t="s">
        <v>1863</v>
      </c>
      <c r="AO93" s="201" t="s">
        <v>1654</v>
      </c>
      <c r="AP93" s="201" t="s">
        <v>1917</v>
      </c>
      <c r="AQ93" s="202" t="s">
        <v>2376</v>
      </c>
      <c r="AR93" s="203" t="s">
        <v>1919</v>
      </c>
      <c r="AS93" s="193"/>
      <c r="AT93" s="193"/>
      <c r="AU93" s="193"/>
      <c r="AV93" s="193"/>
      <c r="AW93" s="193"/>
      <c r="AX93" s="193"/>
      <c r="AY93" s="193"/>
      <c r="AZ93" s="193"/>
      <c r="BA93" s="193"/>
      <c r="BB93" s="193"/>
      <c r="BC93" s="193"/>
      <c r="BD93" s="193"/>
      <c r="BE93" s="193"/>
      <c r="BF93" s="193"/>
      <c r="BG93" s="193"/>
      <c r="BH93" s="193"/>
      <c r="BI93" s="193"/>
      <c r="BJ93" s="193"/>
      <c r="BK93" s="193"/>
      <c r="BL93" s="193"/>
      <c r="BM93" s="193"/>
      <c r="BN93" s="193"/>
      <c r="BO93" s="193"/>
      <c r="BP93" s="193"/>
      <c r="BQ93" s="193"/>
      <c r="BR93" s="193"/>
      <c r="BS93" s="193"/>
      <c r="BT93" s="193"/>
      <c r="BU93" s="193"/>
    </row>
    <row r="94" spans="2:73" ht="39.75" customHeight="1" x14ac:dyDescent="0.25">
      <c r="B94" s="193"/>
      <c r="C94" s="194">
        <v>88</v>
      </c>
      <c r="D94" s="195" t="s">
        <v>3139</v>
      </c>
      <c r="E94" s="195" t="s">
        <v>3140</v>
      </c>
      <c r="F94" s="195" t="s">
        <v>2545</v>
      </c>
      <c r="G94" s="195" t="s">
        <v>2887</v>
      </c>
      <c r="H94" s="195" t="s">
        <v>3141</v>
      </c>
      <c r="I94" s="195" t="s">
        <v>3142</v>
      </c>
      <c r="J94" s="195" t="s">
        <v>3143</v>
      </c>
      <c r="K94" s="195" t="s">
        <v>3144</v>
      </c>
      <c r="L94" s="195" t="s">
        <v>3145</v>
      </c>
      <c r="M94" s="195" t="s">
        <v>2657</v>
      </c>
      <c r="N94" s="195" t="s">
        <v>2658</v>
      </c>
      <c r="O94" s="195" t="s">
        <v>3146</v>
      </c>
      <c r="P94" s="195" t="s">
        <v>1844</v>
      </c>
      <c r="Q94" s="195" t="s">
        <v>3147</v>
      </c>
      <c r="R94" s="208" t="s">
        <v>3148</v>
      </c>
      <c r="S94" s="199"/>
      <c r="T94" s="182" t="s">
        <v>2497</v>
      </c>
      <c r="U94" s="182" t="s">
        <v>2371</v>
      </c>
      <c r="V94" s="210" t="s">
        <v>3149</v>
      </c>
      <c r="W94" s="209" t="s">
        <v>3150</v>
      </c>
      <c r="X94" s="209" t="s">
        <v>3151</v>
      </c>
      <c r="Y94" s="199" t="s">
        <v>1907</v>
      </c>
      <c r="Z94" s="199" t="s">
        <v>1908</v>
      </c>
      <c r="AA94" s="199" t="s">
        <v>1909</v>
      </c>
      <c r="AB94" s="199" t="s">
        <v>1800</v>
      </c>
      <c r="AC94" s="200" t="s">
        <v>1746</v>
      </c>
      <c r="AD94" s="200" t="s">
        <v>1718</v>
      </c>
      <c r="AE94" s="200" t="s">
        <v>1644</v>
      </c>
      <c r="AF94" s="200" t="s">
        <v>2320</v>
      </c>
      <c r="AG94" s="200" t="s">
        <v>1777</v>
      </c>
      <c r="AH94" s="200" t="s">
        <v>1863</v>
      </c>
      <c r="AI94" s="200" t="s">
        <v>1648</v>
      </c>
      <c r="AJ94" s="15" t="s">
        <v>2489</v>
      </c>
      <c r="AK94" s="204" t="s">
        <v>1913</v>
      </c>
      <c r="AL94" s="204" t="s">
        <v>1914</v>
      </c>
      <c r="AM94" s="204" t="s">
        <v>1862</v>
      </c>
      <c r="AN94" s="204" t="s">
        <v>1863</v>
      </c>
      <c r="AO94" s="204" t="s">
        <v>1654</v>
      </c>
      <c r="AP94" s="204" t="s">
        <v>1917</v>
      </c>
      <c r="AQ94" s="205" t="s">
        <v>3152</v>
      </c>
      <c r="AR94" s="206" t="s">
        <v>1919</v>
      </c>
      <c r="AS94" s="193"/>
      <c r="AT94" s="193"/>
      <c r="AU94" s="193"/>
      <c r="AV94" s="193"/>
      <c r="AW94" s="193"/>
      <c r="AX94" s="193"/>
      <c r="AY94" s="193"/>
      <c r="AZ94" s="193"/>
      <c r="BA94" s="193"/>
      <c r="BB94" s="193"/>
      <c r="BC94" s="193"/>
      <c r="BD94" s="193"/>
      <c r="BE94" s="193"/>
      <c r="BF94" s="193"/>
      <c r="BG94" s="193"/>
      <c r="BH94" s="193"/>
      <c r="BI94" s="193"/>
      <c r="BJ94" s="193"/>
      <c r="BK94" s="193"/>
      <c r="BL94" s="193"/>
      <c r="BM94" s="193"/>
      <c r="BN94" s="193"/>
      <c r="BO94" s="193"/>
      <c r="BP94" s="193"/>
      <c r="BQ94" s="193"/>
      <c r="BR94" s="193"/>
      <c r="BS94" s="193"/>
      <c r="BT94" s="193"/>
      <c r="BU94" s="193"/>
    </row>
    <row r="95" spans="2:73" ht="39.75" customHeight="1" x14ac:dyDescent="0.25">
      <c r="B95" s="193"/>
      <c r="C95" s="194">
        <v>89</v>
      </c>
      <c r="D95" s="195" t="s">
        <v>3153</v>
      </c>
      <c r="E95" s="195" t="s">
        <v>3154</v>
      </c>
      <c r="F95" s="195" t="s">
        <v>2668</v>
      </c>
      <c r="G95" s="195" t="s">
        <v>2196</v>
      </c>
      <c r="H95" s="195" t="s">
        <v>1036</v>
      </c>
      <c r="I95" s="195" t="s">
        <v>3155</v>
      </c>
      <c r="J95" s="195" t="s">
        <v>3156</v>
      </c>
      <c r="K95" s="195" t="s">
        <v>3157</v>
      </c>
      <c r="L95" s="195" t="s">
        <v>3158</v>
      </c>
      <c r="M95" s="195" t="s">
        <v>3154</v>
      </c>
      <c r="N95" s="195" t="s">
        <v>2657</v>
      </c>
      <c r="O95" s="195" t="s">
        <v>3159</v>
      </c>
      <c r="P95" s="195" t="s">
        <v>1629</v>
      </c>
      <c r="Q95" s="195" t="s">
        <v>3160</v>
      </c>
      <c r="R95" s="208" t="s">
        <v>3161</v>
      </c>
      <c r="S95" s="199"/>
      <c r="T95" s="182" t="s">
        <v>2740</v>
      </c>
      <c r="U95" s="182" t="s">
        <v>2696</v>
      </c>
      <c r="V95" s="210" t="s">
        <v>3162</v>
      </c>
      <c r="W95" s="209" t="s">
        <v>3163</v>
      </c>
      <c r="X95" s="209" t="s">
        <v>3164</v>
      </c>
      <c r="Y95" s="199" t="s">
        <v>1907</v>
      </c>
      <c r="Z95" s="199" t="s">
        <v>1908</v>
      </c>
      <c r="AA95" s="199" t="s">
        <v>1909</v>
      </c>
      <c r="AB95" s="199" t="s">
        <v>1800</v>
      </c>
      <c r="AC95" s="200" t="s">
        <v>1746</v>
      </c>
      <c r="AD95" s="200" t="s">
        <v>1718</v>
      </c>
      <c r="AE95" s="200" t="s">
        <v>1910</v>
      </c>
      <c r="AF95" s="200" t="s">
        <v>1981</v>
      </c>
      <c r="AG95" s="200" t="s">
        <v>1700</v>
      </c>
      <c r="AH95" s="200" t="s">
        <v>1677</v>
      </c>
      <c r="AI95" s="200" t="s">
        <v>1648</v>
      </c>
      <c r="AJ95" s="15" t="s">
        <v>3165</v>
      </c>
      <c r="AK95" s="201" t="s">
        <v>1913</v>
      </c>
      <c r="AL95" s="201" t="s">
        <v>1914</v>
      </c>
      <c r="AM95" s="201" t="s">
        <v>1652</v>
      </c>
      <c r="AN95" s="201" t="s">
        <v>1863</v>
      </c>
      <c r="AO95" s="201" t="s">
        <v>1654</v>
      </c>
      <c r="AP95" s="201" t="s">
        <v>1917</v>
      </c>
      <c r="AQ95" s="202" t="s">
        <v>2376</v>
      </c>
      <c r="AR95" s="203" t="s">
        <v>1919</v>
      </c>
      <c r="AS95" s="193"/>
      <c r="AT95" s="193"/>
      <c r="AU95" s="193"/>
      <c r="AV95" s="193"/>
      <c r="AW95" s="193"/>
      <c r="AX95" s="193"/>
      <c r="AY95" s="193"/>
      <c r="AZ95" s="193"/>
      <c r="BA95" s="193"/>
      <c r="BB95" s="193"/>
      <c r="BC95" s="193"/>
      <c r="BD95" s="193"/>
      <c r="BE95" s="193"/>
      <c r="BF95" s="193"/>
      <c r="BG95" s="193"/>
      <c r="BH95" s="193"/>
      <c r="BI95" s="193"/>
      <c r="BJ95" s="193"/>
      <c r="BK95" s="193"/>
      <c r="BL95" s="193"/>
      <c r="BM95" s="193"/>
      <c r="BN95" s="193"/>
      <c r="BO95" s="193"/>
      <c r="BP95" s="193"/>
      <c r="BQ95" s="193"/>
      <c r="BR95" s="193"/>
      <c r="BS95" s="193"/>
      <c r="BT95" s="193"/>
      <c r="BU95" s="193"/>
    </row>
    <row r="96" spans="2:73" ht="39.75" customHeight="1" x14ac:dyDescent="0.25">
      <c r="B96" s="193"/>
      <c r="C96" s="194">
        <v>90</v>
      </c>
      <c r="D96" s="195" t="s">
        <v>3166</v>
      </c>
      <c r="E96" s="195" t="s">
        <v>2214</v>
      </c>
      <c r="F96" s="195" t="s">
        <v>2545</v>
      </c>
      <c r="G96" s="195" t="s">
        <v>3167</v>
      </c>
      <c r="H96" s="195" t="s">
        <v>3168</v>
      </c>
      <c r="I96" s="195" t="s">
        <v>2958</v>
      </c>
      <c r="J96" s="195" t="s">
        <v>3169</v>
      </c>
      <c r="K96" s="195" t="s">
        <v>3170</v>
      </c>
      <c r="L96" s="195" t="s">
        <v>3171</v>
      </c>
      <c r="M96" s="195" t="s">
        <v>2214</v>
      </c>
      <c r="N96" s="195" t="s">
        <v>1730</v>
      </c>
      <c r="O96" s="195" t="s">
        <v>3172</v>
      </c>
      <c r="P96" s="195" t="s">
        <v>1629</v>
      </c>
      <c r="Q96" s="195" t="s">
        <v>3173</v>
      </c>
      <c r="R96" s="208" t="s">
        <v>3174</v>
      </c>
      <c r="S96" s="199"/>
      <c r="T96" s="182" t="s">
        <v>3036</v>
      </c>
      <c r="U96" s="182" t="s">
        <v>2740</v>
      </c>
      <c r="V96" s="210" t="s">
        <v>3175</v>
      </c>
      <c r="W96" s="209" t="s">
        <v>3176</v>
      </c>
      <c r="X96" s="209" t="s">
        <v>3177</v>
      </c>
      <c r="Y96" s="199" t="s">
        <v>1907</v>
      </c>
      <c r="Z96" s="199" t="s">
        <v>1908</v>
      </c>
      <c r="AA96" s="199" t="s">
        <v>1909</v>
      </c>
      <c r="AB96" s="199" t="s">
        <v>1800</v>
      </c>
      <c r="AC96" s="200" t="s">
        <v>1746</v>
      </c>
      <c r="AD96" s="200" t="s">
        <v>1718</v>
      </c>
      <c r="AE96" s="200" t="s">
        <v>1910</v>
      </c>
      <c r="AF96" s="200" t="s">
        <v>1885</v>
      </c>
      <c r="AG96" s="200" t="s">
        <v>1981</v>
      </c>
      <c r="AH96" s="200" t="s">
        <v>1863</v>
      </c>
      <c r="AI96" s="200" t="s">
        <v>1648</v>
      </c>
      <c r="AJ96" s="15" t="s">
        <v>3178</v>
      </c>
      <c r="AK96" s="204" t="s">
        <v>1829</v>
      </c>
      <c r="AL96" s="204" t="s">
        <v>1830</v>
      </c>
      <c r="AM96" s="204" t="s">
        <v>1652</v>
      </c>
      <c r="AN96" s="204" t="s">
        <v>1653</v>
      </c>
      <c r="AO96" s="204" t="s">
        <v>1654</v>
      </c>
      <c r="AP96" s="204" t="s">
        <v>1655</v>
      </c>
      <c r="AQ96" s="205" t="s">
        <v>2419</v>
      </c>
      <c r="AR96" s="206" t="s">
        <v>1832</v>
      </c>
      <c r="AS96" s="193"/>
      <c r="AT96" s="193"/>
      <c r="AU96" s="193"/>
      <c r="AV96" s="193"/>
      <c r="AW96" s="193"/>
      <c r="AX96" s="193"/>
      <c r="AY96" s="193"/>
      <c r="AZ96" s="193"/>
      <c r="BA96" s="193"/>
      <c r="BB96" s="193"/>
      <c r="BC96" s="193"/>
      <c r="BD96" s="193"/>
      <c r="BE96" s="193"/>
      <c r="BF96" s="193"/>
      <c r="BG96" s="193"/>
      <c r="BH96" s="193"/>
      <c r="BI96" s="193"/>
      <c r="BJ96" s="193"/>
      <c r="BK96" s="193"/>
      <c r="BL96" s="193"/>
      <c r="BM96" s="193"/>
      <c r="BN96" s="193"/>
      <c r="BO96" s="193"/>
      <c r="BP96" s="193"/>
      <c r="BQ96" s="193"/>
      <c r="BR96" s="193"/>
      <c r="BS96" s="193"/>
      <c r="BT96" s="193"/>
      <c r="BU96" s="193"/>
    </row>
    <row r="97" spans="2:73" ht="39.75" customHeight="1" x14ac:dyDescent="0.25">
      <c r="B97" s="193"/>
      <c r="C97" s="194">
        <v>91</v>
      </c>
      <c r="D97" s="195" t="s">
        <v>3179</v>
      </c>
      <c r="E97" s="195" t="s">
        <v>3180</v>
      </c>
      <c r="F97" s="195" t="s">
        <v>2608</v>
      </c>
      <c r="G97" s="195" t="s">
        <v>2550</v>
      </c>
      <c r="H97" s="195" t="s">
        <v>3181</v>
      </c>
      <c r="I97" s="195" t="s">
        <v>3180</v>
      </c>
      <c r="J97" s="195" t="s">
        <v>2611</v>
      </c>
      <c r="K97" s="195" t="s">
        <v>3182</v>
      </c>
      <c r="L97" s="195" t="s">
        <v>2596</v>
      </c>
      <c r="M97" s="195" t="s">
        <v>1790</v>
      </c>
      <c r="N97" s="195" t="s">
        <v>3183</v>
      </c>
      <c r="O97" s="195" t="s">
        <v>3184</v>
      </c>
      <c r="P97" s="195" t="s">
        <v>2630</v>
      </c>
      <c r="Q97" s="195" t="s">
        <v>3185</v>
      </c>
      <c r="R97" s="208" t="s">
        <v>3186</v>
      </c>
      <c r="S97" s="199"/>
      <c r="T97" s="182" t="s">
        <v>2602</v>
      </c>
      <c r="U97" s="182" t="s">
        <v>3036</v>
      </c>
      <c r="V97" s="210" t="s">
        <v>3187</v>
      </c>
      <c r="W97" s="209" t="s">
        <v>3188</v>
      </c>
      <c r="X97" s="209" t="s">
        <v>3189</v>
      </c>
      <c r="Y97" s="199" t="s">
        <v>1907</v>
      </c>
      <c r="Z97" s="199" t="s">
        <v>1908</v>
      </c>
      <c r="AA97" s="199" t="s">
        <v>1909</v>
      </c>
      <c r="AB97" s="199" t="s">
        <v>1800</v>
      </c>
      <c r="AC97" s="200" t="s">
        <v>1746</v>
      </c>
      <c r="AD97" s="200" t="s">
        <v>1718</v>
      </c>
      <c r="AE97" s="200" t="s">
        <v>1644</v>
      </c>
      <c r="AF97" s="200" t="s">
        <v>1719</v>
      </c>
      <c r="AG97" s="200" t="s">
        <v>1749</v>
      </c>
      <c r="AH97" s="200" t="s">
        <v>1858</v>
      </c>
      <c r="AI97" s="200" t="s">
        <v>1648</v>
      </c>
      <c r="AJ97" s="15" t="s">
        <v>3190</v>
      </c>
      <c r="AK97" s="201" t="s">
        <v>1860</v>
      </c>
      <c r="AL97" s="201" t="s">
        <v>1861</v>
      </c>
      <c r="AM97" s="201" t="s">
        <v>2245</v>
      </c>
      <c r="AN97" s="201" t="s">
        <v>1863</v>
      </c>
      <c r="AO97" s="201" t="s">
        <v>1654</v>
      </c>
      <c r="AP97" s="201" t="s">
        <v>1754</v>
      </c>
      <c r="AQ97" s="202" t="s">
        <v>2606</v>
      </c>
      <c r="AR97" s="203" t="s">
        <v>1865</v>
      </c>
      <c r="AS97" s="193"/>
      <c r="AT97" s="193"/>
      <c r="AU97" s="193"/>
      <c r="AV97" s="193"/>
      <c r="AW97" s="193"/>
      <c r="AX97" s="193"/>
      <c r="AY97" s="193"/>
      <c r="AZ97" s="193"/>
      <c r="BA97" s="193"/>
      <c r="BB97" s="193"/>
      <c r="BC97" s="193"/>
      <c r="BD97" s="193"/>
      <c r="BE97" s="193"/>
      <c r="BF97" s="193"/>
      <c r="BG97" s="193"/>
      <c r="BH97" s="193"/>
      <c r="BI97" s="193"/>
      <c r="BJ97" s="193"/>
      <c r="BK97" s="193"/>
      <c r="BL97" s="193"/>
      <c r="BM97" s="193"/>
      <c r="BN97" s="193"/>
      <c r="BO97" s="193"/>
      <c r="BP97" s="193"/>
      <c r="BQ97" s="193"/>
      <c r="BR97" s="193"/>
      <c r="BS97" s="193"/>
      <c r="BT97" s="193"/>
      <c r="BU97" s="193"/>
    </row>
    <row r="98" spans="2:73" ht="39.75" customHeight="1" x14ac:dyDescent="0.25">
      <c r="B98" s="193"/>
      <c r="C98" s="194">
        <v>92</v>
      </c>
      <c r="D98" s="195" t="s">
        <v>3191</v>
      </c>
      <c r="E98" s="195" t="s">
        <v>3192</v>
      </c>
      <c r="F98" s="195" t="s">
        <v>2578</v>
      </c>
      <c r="G98" s="195" t="s">
        <v>3193</v>
      </c>
      <c r="H98" s="195" t="s">
        <v>3191</v>
      </c>
      <c r="I98" s="195" t="s">
        <v>3194</v>
      </c>
      <c r="J98" s="195" t="s">
        <v>2582</v>
      </c>
      <c r="K98" s="195" t="s">
        <v>3195</v>
      </c>
      <c r="L98" s="195" t="s">
        <v>3193</v>
      </c>
      <c r="M98" s="195" t="s">
        <v>1790</v>
      </c>
      <c r="N98" s="195" t="s">
        <v>3196</v>
      </c>
      <c r="O98" s="195" t="s">
        <v>3193</v>
      </c>
      <c r="P98" s="195" t="s">
        <v>2599</v>
      </c>
      <c r="Q98" s="195" t="s">
        <v>3197</v>
      </c>
      <c r="R98" s="208" t="s">
        <v>3198</v>
      </c>
      <c r="S98" s="199"/>
      <c r="T98" s="182" t="s">
        <v>2602</v>
      </c>
      <c r="U98" s="182" t="s">
        <v>2681</v>
      </c>
      <c r="V98" s="210" t="s">
        <v>3199</v>
      </c>
      <c r="W98" s="209" t="s">
        <v>3200</v>
      </c>
      <c r="X98" s="209" t="s">
        <v>3201</v>
      </c>
      <c r="Y98" s="199" t="s">
        <v>1907</v>
      </c>
      <c r="Z98" s="199" t="s">
        <v>1908</v>
      </c>
      <c r="AA98" s="199" t="s">
        <v>1909</v>
      </c>
      <c r="AB98" s="199" t="s">
        <v>1800</v>
      </c>
      <c r="AC98" s="200" t="s">
        <v>1746</v>
      </c>
      <c r="AD98" s="200" t="s">
        <v>1718</v>
      </c>
      <c r="AE98" s="200" t="s">
        <v>1644</v>
      </c>
      <c r="AF98" s="200" t="s">
        <v>1748</v>
      </c>
      <c r="AG98" s="200" t="s">
        <v>1857</v>
      </c>
      <c r="AH98" s="200" t="s">
        <v>1753</v>
      </c>
      <c r="AI98" s="200" t="s">
        <v>1648</v>
      </c>
      <c r="AJ98" s="15" t="s">
        <v>3202</v>
      </c>
      <c r="AK98" s="204" t="s">
        <v>1860</v>
      </c>
      <c r="AL98" s="204" t="s">
        <v>1861</v>
      </c>
      <c r="AM98" s="204" t="s">
        <v>2245</v>
      </c>
      <c r="AN98" s="204" t="s">
        <v>1863</v>
      </c>
      <c r="AO98" s="204" t="s">
        <v>1654</v>
      </c>
      <c r="AP98" s="204" t="s">
        <v>1754</v>
      </c>
      <c r="AQ98" s="205" t="s">
        <v>2606</v>
      </c>
      <c r="AR98" s="206" t="s">
        <v>1865</v>
      </c>
      <c r="AS98" s="193"/>
      <c r="AT98" s="193"/>
      <c r="AU98" s="193"/>
      <c r="AV98" s="193"/>
      <c r="AW98" s="193"/>
      <c r="AX98" s="193"/>
      <c r="AY98" s="193"/>
      <c r="AZ98" s="193"/>
      <c r="BA98" s="193"/>
      <c r="BB98" s="193"/>
      <c r="BC98" s="193"/>
      <c r="BD98" s="193"/>
      <c r="BE98" s="193"/>
      <c r="BF98" s="193"/>
      <c r="BG98" s="193"/>
      <c r="BH98" s="193"/>
      <c r="BI98" s="193"/>
      <c r="BJ98" s="193"/>
      <c r="BK98" s="193"/>
      <c r="BL98" s="193"/>
      <c r="BM98" s="193"/>
      <c r="BN98" s="193"/>
      <c r="BO98" s="193"/>
      <c r="BP98" s="193"/>
      <c r="BQ98" s="193"/>
      <c r="BR98" s="193"/>
      <c r="BS98" s="193"/>
      <c r="BT98" s="193"/>
      <c r="BU98" s="193"/>
    </row>
    <row r="99" spans="2:73" ht="39.75" customHeight="1" x14ac:dyDescent="0.25">
      <c r="B99" s="193"/>
      <c r="C99" s="194">
        <v>93</v>
      </c>
      <c r="D99" s="195" t="s">
        <v>3203</v>
      </c>
      <c r="E99" s="195" t="s">
        <v>2637</v>
      </c>
      <c r="F99" s="195" t="s">
        <v>2620</v>
      </c>
      <c r="G99" s="195" t="s">
        <v>3204</v>
      </c>
      <c r="H99" s="195" t="s">
        <v>3203</v>
      </c>
      <c r="I99" s="195" t="s">
        <v>2637</v>
      </c>
      <c r="J99" s="195" t="s">
        <v>3205</v>
      </c>
      <c r="K99" s="195" t="s">
        <v>3206</v>
      </c>
      <c r="L99" s="195" t="s">
        <v>2425</v>
      </c>
      <c r="M99" s="195" t="s">
        <v>2627</v>
      </c>
      <c r="N99" s="195" t="s">
        <v>3207</v>
      </c>
      <c r="O99" s="195" t="s">
        <v>3208</v>
      </c>
      <c r="P99" s="195" t="s">
        <v>2630</v>
      </c>
      <c r="Q99" s="195" t="s">
        <v>3209</v>
      </c>
      <c r="R99" s="208" t="s">
        <v>3210</v>
      </c>
      <c r="S99" s="199"/>
      <c r="T99" s="182" t="s">
        <v>2523</v>
      </c>
      <c r="U99" s="182" t="s">
        <v>3036</v>
      </c>
      <c r="V99" s="210" t="s">
        <v>3211</v>
      </c>
      <c r="W99" s="210" t="s">
        <v>3212</v>
      </c>
      <c r="X99" s="209" t="s">
        <v>3213</v>
      </c>
      <c r="Y99" s="199" t="s">
        <v>1907</v>
      </c>
      <c r="Z99" s="199" t="s">
        <v>1908</v>
      </c>
      <c r="AA99" s="199" t="s">
        <v>1909</v>
      </c>
      <c r="AB99" s="199" t="s">
        <v>1800</v>
      </c>
      <c r="AC99" s="200" t="s">
        <v>1746</v>
      </c>
      <c r="AD99" s="200" t="s">
        <v>1718</v>
      </c>
      <c r="AE99" s="200" t="s">
        <v>1644</v>
      </c>
      <c r="AF99" s="200" t="s">
        <v>1748</v>
      </c>
      <c r="AG99" s="200" t="s">
        <v>1646</v>
      </c>
      <c r="AH99" s="200" t="s">
        <v>1863</v>
      </c>
      <c r="AI99" s="200" t="s">
        <v>1648</v>
      </c>
      <c r="AJ99" s="15" t="s">
        <v>3214</v>
      </c>
      <c r="AK99" s="201" t="s">
        <v>1913</v>
      </c>
      <c r="AL99" s="201" t="s">
        <v>1914</v>
      </c>
      <c r="AM99" s="201" t="s">
        <v>2245</v>
      </c>
      <c r="AN99" s="201" t="s">
        <v>1863</v>
      </c>
      <c r="AO99" s="201" t="s">
        <v>1654</v>
      </c>
      <c r="AP99" s="201" t="s">
        <v>1917</v>
      </c>
      <c r="AQ99" s="202" t="s">
        <v>2684</v>
      </c>
      <c r="AR99" s="203" t="s">
        <v>1919</v>
      </c>
      <c r="AS99" s="193"/>
      <c r="AT99" s="193"/>
      <c r="AU99" s="193"/>
      <c r="AV99" s="193"/>
      <c r="AW99" s="193"/>
      <c r="AX99" s="193"/>
      <c r="AY99" s="193"/>
      <c r="AZ99" s="193"/>
      <c r="BA99" s="193"/>
      <c r="BB99" s="193"/>
      <c r="BC99" s="193"/>
      <c r="BD99" s="193"/>
      <c r="BE99" s="193"/>
      <c r="BF99" s="193"/>
      <c r="BG99" s="193"/>
      <c r="BH99" s="193"/>
      <c r="BI99" s="193"/>
      <c r="BJ99" s="193"/>
      <c r="BK99" s="193"/>
      <c r="BL99" s="193"/>
      <c r="BM99" s="193"/>
      <c r="BN99" s="193"/>
      <c r="BO99" s="193"/>
      <c r="BP99" s="193"/>
      <c r="BQ99" s="193"/>
      <c r="BR99" s="193"/>
      <c r="BS99" s="193"/>
      <c r="BT99" s="193"/>
      <c r="BU99" s="193"/>
    </row>
    <row r="100" spans="2:73" ht="39.75" customHeight="1" x14ac:dyDescent="0.25">
      <c r="B100" s="193"/>
      <c r="C100" s="194">
        <v>94</v>
      </c>
      <c r="D100" s="195" t="s">
        <v>3215</v>
      </c>
      <c r="E100" s="195" t="s">
        <v>2729</v>
      </c>
      <c r="F100" s="195" t="s">
        <v>2074</v>
      </c>
      <c r="G100" s="195" t="s">
        <v>3216</v>
      </c>
      <c r="H100" s="195" t="s">
        <v>3217</v>
      </c>
      <c r="I100" s="195" t="s">
        <v>3218</v>
      </c>
      <c r="J100" s="195" t="s">
        <v>2517</v>
      </c>
      <c r="K100" s="195" t="s">
        <v>3219</v>
      </c>
      <c r="L100" s="195" t="s">
        <v>3220</v>
      </c>
      <c r="M100" s="195" t="s">
        <v>1815</v>
      </c>
      <c r="N100" s="195" t="s">
        <v>2519</v>
      </c>
      <c r="O100" s="195" t="s">
        <v>1190</v>
      </c>
      <c r="P100" s="195" t="s">
        <v>2313</v>
      </c>
      <c r="Q100" s="195" t="s">
        <v>3221</v>
      </c>
      <c r="R100" s="208" t="s">
        <v>3222</v>
      </c>
      <c r="S100" s="199"/>
      <c r="T100" s="182" t="s">
        <v>3036</v>
      </c>
      <c r="U100" s="182" t="s">
        <v>3223</v>
      </c>
      <c r="V100" s="210" t="s">
        <v>3224</v>
      </c>
      <c r="W100" s="210" t="s">
        <v>3225</v>
      </c>
      <c r="X100" s="209" t="s">
        <v>3226</v>
      </c>
      <c r="Y100" s="199" t="s">
        <v>1907</v>
      </c>
      <c r="Z100" s="199" t="s">
        <v>1908</v>
      </c>
      <c r="AA100" s="199" t="s">
        <v>1909</v>
      </c>
      <c r="AB100" s="199" t="s">
        <v>1800</v>
      </c>
      <c r="AC100" s="200" t="s">
        <v>1746</v>
      </c>
      <c r="AD100" s="200" t="s">
        <v>1718</v>
      </c>
      <c r="AE100" s="200" t="s">
        <v>1644</v>
      </c>
      <c r="AF100" s="200" t="s">
        <v>1699</v>
      </c>
      <c r="AG100" s="200" t="s">
        <v>1678</v>
      </c>
      <c r="AH100" s="200" t="s">
        <v>1778</v>
      </c>
      <c r="AI100" s="200" t="s">
        <v>1648</v>
      </c>
      <c r="AJ100" s="15" t="s">
        <v>3138</v>
      </c>
      <c r="AK100" s="204" t="s">
        <v>1913</v>
      </c>
      <c r="AL100" s="204" t="s">
        <v>1914</v>
      </c>
      <c r="AM100" s="204" t="s">
        <v>1915</v>
      </c>
      <c r="AN100" s="204" t="s">
        <v>1653</v>
      </c>
      <c r="AO100" s="204" t="s">
        <v>1654</v>
      </c>
      <c r="AP100" s="204" t="s">
        <v>1917</v>
      </c>
      <c r="AQ100" s="205" t="s">
        <v>3227</v>
      </c>
      <c r="AR100" s="206" t="s">
        <v>1919</v>
      </c>
      <c r="AS100" s="193"/>
      <c r="AT100" s="193"/>
      <c r="AU100" s="193"/>
      <c r="AV100" s="193"/>
      <c r="AW100" s="193"/>
      <c r="AX100" s="193"/>
      <c r="AY100" s="193"/>
      <c r="AZ100" s="193"/>
      <c r="BA100" s="193"/>
      <c r="BB100" s="193"/>
      <c r="BC100" s="193"/>
      <c r="BD100" s="193"/>
      <c r="BE100" s="193"/>
      <c r="BF100" s="193"/>
      <c r="BG100" s="193"/>
      <c r="BH100" s="193"/>
      <c r="BI100" s="193"/>
      <c r="BJ100" s="193"/>
      <c r="BK100" s="193"/>
      <c r="BL100" s="193"/>
      <c r="BM100" s="193"/>
      <c r="BN100" s="193"/>
      <c r="BO100" s="193"/>
      <c r="BP100" s="193"/>
      <c r="BQ100" s="193"/>
      <c r="BR100" s="193"/>
      <c r="BS100" s="193"/>
      <c r="BT100" s="193"/>
      <c r="BU100" s="193"/>
    </row>
    <row r="101" spans="2:73" ht="39.75" customHeight="1" x14ac:dyDescent="0.25">
      <c r="B101" s="193"/>
      <c r="C101" s="194">
        <v>95</v>
      </c>
      <c r="D101" s="195" t="s">
        <v>3228</v>
      </c>
      <c r="E101" s="195" t="s">
        <v>2637</v>
      </c>
      <c r="F101" s="195" t="s">
        <v>1868</v>
      </c>
      <c r="G101" s="195" t="s">
        <v>2239</v>
      </c>
      <c r="H101" s="195" t="s">
        <v>3229</v>
      </c>
      <c r="I101" s="195" t="s">
        <v>2468</v>
      </c>
      <c r="J101" s="195" t="s">
        <v>3230</v>
      </c>
      <c r="K101" s="195" t="s">
        <v>3231</v>
      </c>
      <c r="L101" s="195" t="s">
        <v>2473</v>
      </c>
      <c r="M101" s="195" t="s">
        <v>3232</v>
      </c>
      <c r="N101" s="195" t="s">
        <v>3233</v>
      </c>
      <c r="O101" s="195" t="s">
        <v>2596</v>
      </c>
      <c r="P101" s="195" t="s">
        <v>2630</v>
      </c>
      <c r="Q101" s="195" t="s">
        <v>3234</v>
      </c>
      <c r="R101" s="208" t="s">
        <v>3235</v>
      </c>
      <c r="S101" s="199"/>
      <c r="T101" s="182" t="s">
        <v>2523</v>
      </c>
      <c r="U101" s="182" t="s">
        <v>3036</v>
      </c>
      <c r="V101" s="210" t="s">
        <v>3236</v>
      </c>
      <c r="W101" s="210" t="s">
        <v>3237</v>
      </c>
      <c r="X101" s="209" t="s">
        <v>3238</v>
      </c>
      <c r="Y101" s="199" t="s">
        <v>1907</v>
      </c>
      <c r="Z101" s="199" t="s">
        <v>1908</v>
      </c>
      <c r="AA101" s="199" t="s">
        <v>1909</v>
      </c>
      <c r="AB101" s="199" t="s">
        <v>1800</v>
      </c>
      <c r="AC101" s="200" t="s">
        <v>1746</v>
      </c>
      <c r="AD101" s="200" t="s">
        <v>1718</v>
      </c>
      <c r="AE101" s="200" t="s">
        <v>1644</v>
      </c>
      <c r="AF101" s="200" t="s">
        <v>1748</v>
      </c>
      <c r="AG101" s="200" t="s">
        <v>1646</v>
      </c>
      <c r="AH101" s="200" t="s">
        <v>1677</v>
      </c>
      <c r="AI101" s="200" t="s">
        <v>1648</v>
      </c>
      <c r="AJ101" s="15" t="s">
        <v>3239</v>
      </c>
      <c r="AK101" s="201" t="s">
        <v>1913</v>
      </c>
      <c r="AL101" s="201" t="s">
        <v>1914</v>
      </c>
      <c r="AM101" s="201" t="s">
        <v>2245</v>
      </c>
      <c r="AN101" s="201" t="s">
        <v>1863</v>
      </c>
      <c r="AO101" s="201" t="s">
        <v>1654</v>
      </c>
      <c r="AP101" s="201" t="s">
        <v>1917</v>
      </c>
      <c r="AQ101" s="202" t="s">
        <v>2684</v>
      </c>
      <c r="AR101" s="203" t="s">
        <v>1919</v>
      </c>
      <c r="AS101" s="193"/>
      <c r="AT101" s="193"/>
      <c r="AU101" s="193"/>
      <c r="AV101" s="193"/>
      <c r="AW101" s="193"/>
      <c r="AX101" s="193"/>
      <c r="AY101" s="193"/>
      <c r="AZ101" s="193"/>
      <c r="BA101" s="193"/>
      <c r="BB101" s="193"/>
      <c r="BC101" s="193"/>
      <c r="BD101" s="193"/>
      <c r="BE101" s="193"/>
      <c r="BF101" s="193"/>
      <c r="BG101" s="193"/>
      <c r="BH101" s="193"/>
      <c r="BI101" s="193"/>
      <c r="BJ101" s="193"/>
      <c r="BK101" s="193"/>
      <c r="BL101" s="193"/>
      <c r="BM101" s="193"/>
      <c r="BN101" s="193"/>
      <c r="BO101" s="193"/>
      <c r="BP101" s="193"/>
      <c r="BQ101" s="193"/>
      <c r="BR101" s="193"/>
      <c r="BS101" s="193"/>
      <c r="BT101" s="193"/>
      <c r="BU101" s="193"/>
    </row>
    <row r="102" spans="2:73" ht="39.75" customHeight="1" x14ac:dyDescent="0.25">
      <c r="B102" s="193"/>
      <c r="C102" s="194">
        <v>96</v>
      </c>
      <c r="D102" s="195" t="s">
        <v>3240</v>
      </c>
      <c r="E102" s="195" t="s">
        <v>2434</v>
      </c>
      <c r="F102" s="195" t="s">
        <v>2148</v>
      </c>
      <c r="G102" s="195" t="s">
        <v>3241</v>
      </c>
      <c r="H102" s="195" t="s">
        <v>3242</v>
      </c>
      <c r="I102" s="195" t="s">
        <v>3243</v>
      </c>
      <c r="J102" s="195" t="s">
        <v>3244</v>
      </c>
      <c r="K102" s="195" t="s">
        <v>3245</v>
      </c>
      <c r="L102" s="195" t="s">
        <v>2425</v>
      </c>
      <c r="M102" s="195" t="s">
        <v>3246</v>
      </c>
      <c r="N102" s="195" t="s">
        <v>3247</v>
      </c>
      <c r="O102" s="195" t="s">
        <v>3248</v>
      </c>
      <c r="P102" s="195" t="s">
        <v>1629</v>
      </c>
      <c r="Q102" s="195" t="s">
        <v>3249</v>
      </c>
      <c r="R102" s="208" t="s">
        <v>3250</v>
      </c>
      <c r="S102" s="199"/>
      <c r="T102" s="182" t="s">
        <v>2770</v>
      </c>
      <c r="U102" s="182" t="s">
        <v>2740</v>
      </c>
      <c r="V102" s="210" t="s">
        <v>3251</v>
      </c>
      <c r="W102" s="210" t="s">
        <v>3252</v>
      </c>
      <c r="X102" s="209" t="s">
        <v>3253</v>
      </c>
      <c r="Y102" s="199" t="s">
        <v>1907</v>
      </c>
      <c r="Z102" s="199" t="s">
        <v>1908</v>
      </c>
      <c r="AA102" s="199" t="s">
        <v>1909</v>
      </c>
      <c r="AB102" s="199" t="s">
        <v>1800</v>
      </c>
      <c r="AC102" s="200" t="s">
        <v>1746</v>
      </c>
      <c r="AD102" s="200" t="s">
        <v>1718</v>
      </c>
      <c r="AE102" s="200" t="s">
        <v>1644</v>
      </c>
      <c r="AF102" s="200" t="s">
        <v>1719</v>
      </c>
      <c r="AG102" s="200" t="s">
        <v>1749</v>
      </c>
      <c r="AH102" s="200" t="s">
        <v>1863</v>
      </c>
      <c r="AI102" s="200" t="s">
        <v>1648</v>
      </c>
      <c r="AJ102" s="15" t="s">
        <v>3254</v>
      </c>
      <c r="AK102" s="204" t="s">
        <v>1751</v>
      </c>
      <c r="AL102" s="204" t="s">
        <v>1752</v>
      </c>
      <c r="AM102" s="204" t="s">
        <v>1652</v>
      </c>
      <c r="AN102" s="204" t="s">
        <v>1753</v>
      </c>
      <c r="AO102" s="204" t="s">
        <v>1654</v>
      </c>
      <c r="AP102" s="204" t="s">
        <v>1754</v>
      </c>
      <c r="AQ102" s="205" t="s">
        <v>3255</v>
      </c>
      <c r="AR102" s="206" t="s">
        <v>1756</v>
      </c>
      <c r="AS102" s="193"/>
      <c r="AT102" s="193"/>
      <c r="AU102" s="193"/>
      <c r="AV102" s="193"/>
      <c r="AW102" s="193"/>
      <c r="AX102" s="193"/>
      <c r="AY102" s="193"/>
      <c r="AZ102" s="193"/>
      <c r="BA102" s="193"/>
      <c r="BB102" s="193"/>
      <c r="BC102" s="193"/>
      <c r="BD102" s="193"/>
      <c r="BE102" s="193"/>
      <c r="BF102" s="193"/>
      <c r="BG102" s="193"/>
      <c r="BH102" s="193"/>
      <c r="BI102" s="193"/>
      <c r="BJ102" s="193"/>
      <c r="BK102" s="193"/>
      <c r="BL102" s="193"/>
      <c r="BM102" s="193"/>
      <c r="BN102" s="193"/>
      <c r="BO102" s="193"/>
      <c r="BP102" s="193"/>
      <c r="BQ102" s="193"/>
      <c r="BR102" s="193"/>
      <c r="BS102" s="193"/>
      <c r="BT102" s="193"/>
      <c r="BU102" s="193"/>
    </row>
    <row r="103" spans="2:73" ht="39.75" customHeight="1" x14ac:dyDescent="0.25">
      <c r="B103" s="193"/>
      <c r="C103" s="194">
        <v>97</v>
      </c>
      <c r="D103" s="195" t="s">
        <v>3242</v>
      </c>
      <c r="E103" s="195" t="s">
        <v>3256</v>
      </c>
      <c r="F103" s="195" t="s">
        <v>2638</v>
      </c>
      <c r="G103" s="195" t="s">
        <v>3257</v>
      </c>
      <c r="H103" s="195" t="s">
        <v>3258</v>
      </c>
      <c r="I103" s="195" t="s">
        <v>3259</v>
      </c>
      <c r="J103" s="195" t="s">
        <v>3260</v>
      </c>
      <c r="K103" s="195" t="s">
        <v>3261</v>
      </c>
      <c r="L103" s="195" t="s">
        <v>2272</v>
      </c>
      <c r="M103" s="195" t="s">
        <v>1790</v>
      </c>
      <c r="N103" s="195" t="s">
        <v>2645</v>
      </c>
      <c r="O103" s="195" t="s">
        <v>3262</v>
      </c>
      <c r="P103" s="195" t="s">
        <v>1629</v>
      </c>
      <c r="Q103" s="195" t="s">
        <v>3263</v>
      </c>
      <c r="R103" s="208" t="s">
        <v>3264</v>
      </c>
      <c r="S103" s="199"/>
      <c r="T103" s="182" t="s">
        <v>2770</v>
      </c>
      <c r="U103" s="182" t="s">
        <v>2681</v>
      </c>
      <c r="V103" s="210" t="s">
        <v>3265</v>
      </c>
      <c r="W103" s="210" t="s">
        <v>3266</v>
      </c>
      <c r="X103" s="209" t="s">
        <v>3267</v>
      </c>
      <c r="Y103" s="199" t="s">
        <v>1907</v>
      </c>
      <c r="Z103" s="199" t="s">
        <v>1908</v>
      </c>
      <c r="AA103" s="199" t="s">
        <v>1909</v>
      </c>
      <c r="AB103" s="199" t="s">
        <v>1800</v>
      </c>
      <c r="AC103" s="200" t="s">
        <v>1746</v>
      </c>
      <c r="AD103" s="200" t="s">
        <v>3268</v>
      </c>
      <c r="AE103" s="200" t="s">
        <v>1644</v>
      </c>
      <c r="AF103" s="200" t="s">
        <v>1748</v>
      </c>
      <c r="AG103" s="200" t="s">
        <v>1700</v>
      </c>
      <c r="AH103" s="200" t="s">
        <v>1858</v>
      </c>
      <c r="AI103" s="200" t="s">
        <v>1648</v>
      </c>
      <c r="AJ103" s="15" t="s">
        <v>3269</v>
      </c>
      <c r="AK103" s="201" t="s">
        <v>1860</v>
      </c>
      <c r="AL103" s="201" t="s">
        <v>1861</v>
      </c>
      <c r="AM103" s="201" t="s">
        <v>1652</v>
      </c>
      <c r="AN103" s="201" t="s">
        <v>1753</v>
      </c>
      <c r="AO103" s="201" t="s">
        <v>1654</v>
      </c>
      <c r="AP103" s="201" t="s">
        <v>1754</v>
      </c>
      <c r="AQ103" s="202" t="s">
        <v>3270</v>
      </c>
      <c r="AR103" s="203" t="s">
        <v>1865</v>
      </c>
      <c r="AS103" s="193"/>
      <c r="AT103" s="193"/>
      <c r="AU103" s="193"/>
      <c r="AV103" s="193"/>
      <c r="AW103" s="193"/>
      <c r="AX103" s="193"/>
      <c r="AY103" s="193"/>
      <c r="AZ103" s="193"/>
      <c r="BA103" s="193"/>
      <c r="BB103" s="193"/>
      <c r="BC103" s="193"/>
      <c r="BD103" s="193"/>
      <c r="BE103" s="193"/>
      <c r="BF103" s="193"/>
      <c r="BG103" s="193"/>
      <c r="BH103" s="193"/>
      <c r="BI103" s="193"/>
      <c r="BJ103" s="193"/>
      <c r="BK103" s="193"/>
      <c r="BL103" s="193"/>
      <c r="BM103" s="193"/>
      <c r="BN103" s="193"/>
      <c r="BO103" s="193"/>
      <c r="BP103" s="193"/>
      <c r="BQ103" s="193"/>
      <c r="BR103" s="193"/>
      <c r="BS103" s="193"/>
      <c r="BT103" s="193"/>
      <c r="BU103" s="193"/>
    </row>
    <row r="104" spans="2:73" ht="39.75" customHeight="1" x14ac:dyDescent="0.25">
      <c r="B104" s="193"/>
      <c r="C104" s="194">
        <v>98</v>
      </c>
      <c r="D104" s="195" t="s">
        <v>1293</v>
      </c>
      <c r="E104" s="195" t="s">
        <v>2269</v>
      </c>
      <c r="F104" s="195" t="s">
        <v>2421</v>
      </c>
      <c r="G104" s="195" t="s">
        <v>3271</v>
      </c>
      <c r="H104" s="195" t="s">
        <v>1293</v>
      </c>
      <c r="I104" s="195" t="s">
        <v>2269</v>
      </c>
      <c r="J104" s="195" t="s">
        <v>3272</v>
      </c>
      <c r="K104" s="195" t="s">
        <v>3273</v>
      </c>
      <c r="L104" s="195" t="s">
        <v>3274</v>
      </c>
      <c r="M104" s="195" t="s">
        <v>3275</v>
      </c>
      <c r="N104" s="195" t="s">
        <v>3276</v>
      </c>
      <c r="O104" s="195" t="s">
        <v>3277</v>
      </c>
      <c r="P104" s="195" t="s">
        <v>1629</v>
      </c>
      <c r="Q104" s="195" t="s">
        <v>3278</v>
      </c>
      <c r="R104" s="208" t="s">
        <v>3279</v>
      </c>
      <c r="S104" s="199"/>
      <c r="T104" s="182" t="s">
        <v>2523</v>
      </c>
      <c r="U104" s="182" t="s">
        <v>1695</v>
      </c>
      <c r="V104" s="210" t="s">
        <v>3280</v>
      </c>
      <c r="W104" s="210" t="s">
        <v>3281</v>
      </c>
      <c r="X104" s="209" t="s">
        <v>3282</v>
      </c>
      <c r="Y104" s="199" t="s">
        <v>1907</v>
      </c>
      <c r="Z104" s="199" t="s">
        <v>1908</v>
      </c>
      <c r="AA104" s="199" t="s">
        <v>1909</v>
      </c>
      <c r="AB104" s="199" t="s">
        <v>1800</v>
      </c>
      <c r="AC104" s="200" t="s">
        <v>1746</v>
      </c>
      <c r="AD104" s="200" t="s">
        <v>1718</v>
      </c>
      <c r="AE104" s="200" t="s">
        <v>1644</v>
      </c>
      <c r="AF104" s="200" t="s">
        <v>1645</v>
      </c>
      <c r="AG104" s="200" t="s">
        <v>1646</v>
      </c>
      <c r="AH104" s="200" t="s">
        <v>1863</v>
      </c>
      <c r="AI104" s="200" t="s">
        <v>1648</v>
      </c>
      <c r="AJ104" s="15" t="s">
        <v>3283</v>
      </c>
      <c r="AK104" s="204" t="s">
        <v>1913</v>
      </c>
      <c r="AL104" s="204" t="s">
        <v>1914</v>
      </c>
      <c r="AM104" s="204" t="s">
        <v>1652</v>
      </c>
      <c r="AN104" s="204" t="s">
        <v>1645</v>
      </c>
      <c r="AO104" s="204" t="s">
        <v>1654</v>
      </c>
      <c r="AP104" s="204" t="s">
        <v>1917</v>
      </c>
      <c r="AQ104" s="205" t="s">
        <v>2432</v>
      </c>
      <c r="AR104" s="206" t="s">
        <v>1919</v>
      </c>
      <c r="AS104" s="193"/>
      <c r="AT104" s="193"/>
      <c r="AU104" s="193"/>
      <c r="AV104" s="193"/>
      <c r="AW104" s="193"/>
      <c r="AX104" s="193"/>
      <c r="AY104" s="193"/>
      <c r="AZ104" s="193"/>
      <c r="BA104" s="193"/>
      <c r="BB104" s="193"/>
      <c r="BC104" s="193"/>
      <c r="BD104" s="193"/>
      <c r="BE104" s="193"/>
      <c r="BF104" s="193"/>
      <c r="BG104" s="193"/>
      <c r="BH104" s="193"/>
      <c r="BI104" s="193"/>
      <c r="BJ104" s="193"/>
      <c r="BK104" s="193"/>
      <c r="BL104" s="193"/>
      <c r="BM104" s="193"/>
      <c r="BN104" s="193"/>
      <c r="BO104" s="193"/>
      <c r="BP104" s="193"/>
      <c r="BQ104" s="193"/>
      <c r="BR104" s="193"/>
      <c r="BS104" s="193"/>
      <c r="BT104" s="193"/>
      <c r="BU104" s="193"/>
    </row>
    <row r="105" spans="2:73" ht="39.75" customHeight="1" x14ac:dyDescent="0.25">
      <c r="B105" s="193"/>
      <c r="C105" s="194">
        <v>99</v>
      </c>
      <c r="D105" s="195" t="s">
        <v>3284</v>
      </c>
      <c r="E105" s="195" t="s">
        <v>3285</v>
      </c>
      <c r="F105" s="195" t="s">
        <v>3286</v>
      </c>
      <c r="G105" s="195" t="s">
        <v>3287</v>
      </c>
      <c r="H105" s="195" t="s">
        <v>3288</v>
      </c>
      <c r="I105" s="195" t="s">
        <v>2434</v>
      </c>
      <c r="J105" s="195" t="s">
        <v>3289</v>
      </c>
      <c r="K105" s="195" t="s">
        <v>3290</v>
      </c>
      <c r="L105" s="195" t="s">
        <v>3291</v>
      </c>
      <c r="M105" s="182" t="s">
        <v>2293</v>
      </c>
      <c r="N105" s="182" t="s">
        <v>3292</v>
      </c>
      <c r="O105" s="182" t="s">
        <v>3248</v>
      </c>
      <c r="P105" s="182" t="s">
        <v>2441</v>
      </c>
      <c r="Q105" s="182" t="s">
        <v>3293</v>
      </c>
      <c r="R105" s="208" t="s">
        <v>3294</v>
      </c>
      <c r="S105" s="199"/>
      <c r="T105" s="182" t="s">
        <v>2725</v>
      </c>
      <c r="U105" s="182" t="s">
        <v>3036</v>
      </c>
      <c r="V105" s="210" t="s">
        <v>3295</v>
      </c>
      <c r="W105" s="210" t="s">
        <v>3296</v>
      </c>
      <c r="X105" s="209" t="s">
        <v>3297</v>
      </c>
      <c r="Y105" s="199" t="s">
        <v>1907</v>
      </c>
      <c r="Z105" s="199" t="s">
        <v>1908</v>
      </c>
      <c r="AA105" s="199" t="s">
        <v>1909</v>
      </c>
      <c r="AB105" s="199" t="s">
        <v>1800</v>
      </c>
      <c r="AC105" s="200" t="s">
        <v>1746</v>
      </c>
      <c r="AD105" s="200" t="s">
        <v>1718</v>
      </c>
      <c r="AE105" s="200" t="s">
        <v>1644</v>
      </c>
      <c r="AF105" s="200" t="s">
        <v>1645</v>
      </c>
      <c r="AG105" s="200" t="s">
        <v>3298</v>
      </c>
      <c r="AH105" s="200" t="s">
        <v>1863</v>
      </c>
      <c r="AI105" s="200" t="s">
        <v>1648</v>
      </c>
      <c r="AJ105" s="15" t="s">
        <v>3299</v>
      </c>
      <c r="AK105" s="201" t="s">
        <v>1829</v>
      </c>
      <c r="AL105" s="201" t="s">
        <v>1830</v>
      </c>
      <c r="AM105" s="201" t="s">
        <v>1652</v>
      </c>
      <c r="AN105" s="201" t="s">
        <v>1645</v>
      </c>
      <c r="AO105" s="201" t="s">
        <v>1654</v>
      </c>
      <c r="AP105" s="201" t="s">
        <v>1655</v>
      </c>
      <c r="AQ105" s="202" t="s">
        <v>3300</v>
      </c>
      <c r="AR105" s="203" t="s">
        <v>1832</v>
      </c>
      <c r="AS105" s="193"/>
      <c r="AT105" s="193"/>
      <c r="AU105" s="193"/>
      <c r="AV105" s="193"/>
      <c r="AW105" s="193"/>
      <c r="AX105" s="193"/>
      <c r="AY105" s="193"/>
      <c r="AZ105" s="193"/>
      <c r="BA105" s="193"/>
      <c r="BB105" s="193"/>
      <c r="BC105" s="193"/>
      <c r="BD105" s="193"/>
      <c r="BE105" s="193"/>
      <c r="BF105" s="193"/>
      <c r="BG105" s="193"/>
      <c r="BH105" s="193"/>
      <c r="BI105" s="193"/>
      <c r="BJ105" s="193"/>
      <c r="BK105" s="193"/>
      <c r="BL105" s="193"/>
      <c r="BM105" s="193"/>
      <c r="BN105" s="193"/>
      <c r="BO105" s="193"/>
      <c r="BP105" s="193"/>
      <c r="BQ105" s="193"/>
      <c r="BR105" s="193"/>
      <c r="BS105" s="193"/>
      <c r="BT105" s="193"/>
      <c r="BU105" s="193"/>
    </row>
    <row r="106" spans="2:73" ht="39.75" customHeight="1" x14ac:dyDescent="0.25">
      <c r="B106" s="193"/>
      <c r="C106" s="194">
        <v>100</v>
      </c>
      <c r="D106" s="195" t="s">
        <v>3301</v>
      </c>
      <c r="E106" s="195" t="s">
        <v>1811</v>
      </c>
      <c r="F106" s="195" t="s">
        <v>3302</v>
      </c>
      <c r="G106" s="195" t="s">
        <v>3303</v>
      </c>
      <c r="H106" s="195" t="s">
        <v>3304</v>
      </c>
      <c r="I106" s="195" t="s">
        <v>1811</v>
      </c>
      <c r="J106" s="195" t="s">
        <v>3169</v>
      </c>
      <c r="K106" s="195" t="s">
        <v>3305</v>
      </c>
      <c r="L106" s="195" t="s">
        <v>2368</v>
      </c>
      <c r="M106" s="182" t="s">
        <v>3306</v>
      </c>
      <c r="N106" s="182" t="s">
        <v>3307</v>
      </c>
      <c r="O106" s="182" t="s">
        <v>3308</v>
      </c>
      <c r="P106" s="182" t="s">
        <v>1629</v>
      </c>
      <c r="Q106" s="182" t="s">
        <v>3309</v>
      </c>
      <c r="R106" s="208" t="s">
        <v>3310</v>
      </c>
      <c r="S106" s="199"/>
      <c r="T106" s="182" t="s">
        <v>2740</v>
      </c>
      <c r="U106" s="182" t="s">
        <v>3036</v>
      </c>
      <c r="V106" s="210" t="s">
        <v>3311</v>
      </c>
      <c r="W106" s="210" t="s">
        <v>3312</v>
      </c>
      <c r="X106" s="209" t="s">
        <v>3313</v>
      </c>
      <c r="Y106" s="199" t="s">
        <v>1907</v>
      </c>
      <c r="Z106" s="199" t="s">
        <v>1908</v>
      </c>
      <c r="AA106" s="199" t="s">
        <v>1909</v>
      </c>
      <c r="AB106" s="199" t="s">
        <v>1800</v>
      </c>
      <c r="AC106" s="200" t="s">
        <v>1746</v>
      </c>
      <c r="AD106" s="200" t="s">
        <v>1718</v>
      </c>
      <c r="AE106" s="200" t="s">
        <v>1644</v>
      </c>
      <c r="AF106" s="200" t="s">
        <v>1885</v>
      </c>
      <c r="AG106" s="200" t="s">
        <v>1749</v>
      </c>
      <c r="AH106" s="200" t="s">
        <v>1778</v>
      </c>
      <c r="AI106" s="200" t="s">
        <v>1648</v>
      </c>
      <c r="AJ106" s="15" t="s">
        <v>3314</v>
      </c>
      <c r="AK106" s="204" t="s">
        <v>1913</v>
      </c>
      <c r="AL106" s="204" t="s">
        <v>1914</v>
      </c>
      <c r="AM106" s="204" t="s">
        <v>1652</v>
      </c>
      <c r="AN106" s="204" t="s">
        <v>1863</v>
      </c>
      <c r="AO106" s="204" t="s">
        <v>1654</v>
      </c>
      <c r="AP106" s="204" t="s">
        <v>1917</v>
      </c>
      <c r="AQ106" s="205" t="s">
        <v>2376</v>
      </c>
      <c r="AR106" s="206" t="s">
        <v>1919</v>
      </c>
      <c r="AS106" s="193"/>
      <c r="AT106" s="193"/>
      <c r="AU106" s="193"/>
      <c r="AV106" s="193"/>
      <c r="AW106" s="193"/>
      <c r="AX106" s="193"/>
      <c r="AY106" s="193"/>
      <c r="AZ106" s="193"/>
      <c r="BA106" s="193"/>
      <c r="BB106" s="193"/>
      <c r="BC106" s="193"/>
      <c r="BD106" s="193"/>
      <c r="BE106" s="193"/>
      <c r="BF106" s="193"/>
      <c r="BG106" s="193"/>
      <c r="BH106" s="193"/>
      <c r="BI106" s="193"/>
      <c r="BJ106" s="193"/>
      <c r="BK106" s="193"/>
      <c r="BL106" s="193"/>
      <c r="BM106" s="193"/>
      <c r="BN106" s="193"/>
      <c r="BO106" s="193"/>
      <c r="BP106" s="193"/>
      <c r="BQ106" s="193"/>
      <c r="BR106" s="193"/>
      <c r="BS106" s="193"/>
      <c r="BT106" s="193"/>
      <c r="BU106" s="193"/>
    </row>
    <row r="107" spans="2:73" ht="39.75" customHeight="1" x14ac:dyDescent="0.25">
      <c r="B107" s="178"/>
      <c r="C107" s="211">
        <f t="shared" ref="C107:C122" si="0">C106+1</f>
        <v>101</v>
      </c>
      <c r="D107" s="182" t="s">
        <v>3315</v>
      </c>
      <c r="E107" s="182" t="s">
        <v>3316</v>
      </c>
      <c r="F107" s="182" t="s">
        <v>3317</v>
      </c>
      <c r="G107" s="182" t="s">
        <v>3318</v>
      </c>
      <c r="H107" s="182" t="s">
        <v>3319</v>
      </c>
      <c r="I107" s="182" t="s">
        <v>3320</v>
      </c>
      <c r="J107" s="182" t="s">
        <v>3321</v>
      </c>
      <c r="K107" s="182" t="s">
        <v>3322</v>
      </c>
      <c r="L107" s="182" t="s">
        <v>3323</v>
      </c>
      <c r="M107" s="195" t="s">
        <v>3324</v>
      </c>
      <c r="N107" s="196" t="s">
        <v>3325</v>
      </c>
      <c r="O107" s="195" t="s">
        <v>3326</v>
      </c>
      <c r="P107" s="195" t="s">
        <v>1629</v>
      </c>
      <c r="Q107" s="195" t="s">
        <v>3327</v>
      </c>
      <c r="R107" s="182" t="s">
        <v>3328</v>
      </c>
      <c r="S107" s="182" t="s">
        <v>3329</v>
      </c>
      <c r="T107" s="182" t="s">
        <v>3330</v>
      </c>
      <c r="U107" s="182" t="s">
        <v>3331</v>
      </c>
      <c r="V107" s="210" t="s">
        <v>3332</v>
      </c>
      <c r="W107" s="210" t="s">
        <v>3333</v>
      </c>
      <c r="X107" s="209" t="s">
        <v>3334</v>
      </c>
      <c r="Y107" s="212" t="s">
        <v>1638</v>
      </c>
      <c r="Z107" s="212" t="s">
        <v>1639</v>
      </c>
      <c r="AA107" s="212" t="s">
        <v>1640</v>
      </c>
      <c r="AB107" s="212" t="s">
        <v>1641</v>
      </c>
      <c r="AC107" s="200" t="s">
        <v>1642</v>
      </c>
      <c r="AD107" s="200" t="s">
        <v>1643</v>
      </c>
      <c r="AE107" s="200" t="s">
        <v>1644</v>
      </c>
      <c r="AF107" s="200" t="s">
        <v>1645</v>
      </c>
      <c r="AG107" s="200" t="s">
        <v>1678</v>
      </c>
      <c r="AH107" s="200" t="s">
        <v>1677</v>
      </c>
      <c r="AI107" s="200" t="s">
        <v>1648</v>
      </c>
      <c r="AJ107" s="15" t="s">
        <v>3335</v>
      </c>
      <c r="AK107" s="201" t="s">
        <v>1802</v>
      </c>
      <c r="AL107" s="201" t="s">
        <v>1803</v>
      </c>
      <c r="AM107" s="201" t="s">
        <v>1652</v>
      </c>
      <c r="AN107" s="201" t="s">
        <v>1863</v>
      </c>
      <c r="AO107" s="201" t="s">
        <v>1654</v>
      </c>
      <c r="AP107" s="201" t="s">
        <v>1754</v>
      </c>
      <c r="AQ107" s="202" t="s">
        <v>2247</v>
      </c>
      <c r="AR107" s="203" t="s">
        <v>1805</v>
      </c>
      <c r="AS107" s="178"/>
      <c r="AT107" s="178"/>
      <c r="AU107" s="178"/>
      <c r="AV107" s="178"/>
      <c r="AW107" s="178"/>
      <c r="AX107" s="178"/>
      <c r="AY107" s="178"/>
      <c r="AZ107" s="178"/>
      <c r="BA107" s="178"/>
      <c r="BB107" s="178"/>
      <c r="BC107" s="178"/>
      <c r="BD107" s="178"/>
      <c r="BE107" s="178"/>
      <c r="BF107" s="178"/>
      <c r="BG107" s="178"/>
      <c r="BH107" s="178"/>
      <c r="BI107" s="178"/>
      <c r="BJ107" s="178"/>
      <c r="BK107" s="178"/>
      <c r="BL107" s="178"/>
      <c r="BM107" s="178"/>
      <c r="BN107" s="178"/>
      <c r="BO107" s="178"/>
      <c r="BP107" s="178"/>
      <c r="BQ107" s="178"/>
      <c r="BR107" s="178"/>
      <c r="BS107" s="178"/>
      <c r="BT107" s="178"/>
      <c r="BU107" s="178"/>
    </row>
    <row r="108" spans="2:73" ht="39.75" customHeight="1" x14ac:dyDescent="0.25">
      <c r="B108" s="178"/>
      <c r="C108" s="211">
        <f t="shared" si="0"/>
        <v>102</v>
      </c>
      <c r="D108" s="182" t="s">
        <v>3336</v>
      </c>
      <c r="E108" s="182" t="s">
        <v>3337</v>
      </c>
      <c r="F108" s="182" t="s">
        <v>3338</v>
      </c>
      <c r="G108" s="182" t="s">
        <v>3339</v>
      </c>
      <c r="H108" s="182" t="s">
        <v>3340</v>
      </c>
      <c r="I108" s="182" t="s">
        <v>3341</v>
      </c>
      <c r="J108" s="182" t="s">
        <v>2483</v>
      </c>
      <c r="K108" s="182" t="s">
        <v>3342</v>
      </c>
      <c r="L108" s="182" t="s">
        <v>3343</v>
      </c>
      <c r="M108" s="195" t="s">
        <v>3344</v>
      </c>
      <c r="N108" s="196" t="s">
        <v>3345</v>
      </c>
      <c r="O108" s="195" t="s">
        <v>3346</v>
      </c>
      <c r="P108" s="195" t="s">
        <v>2313</v>
      </c>
      <c r="Q108" s="195" t="s">
        <v>3347</v>
      </c>
      <c r="R108" s="182" t="s">
        <v>3348</v>
      </c>
      <c r="S108" s="182" t="s">
        <v>3349</v>
      </c>
      <c r="T108" s="182" t="s">
        <v>3350</v>
      </c>
      <c r="U108" s="182" t="s">
        <v>3351</v>
      </c>
      <c r="V108" s="210" t="s">
        <v>3352</v>
      </c>
      <c r="W108" s="209" t="s">
        <v>3353</v>
      </c>
      <c r="X108" s="209" t="s">
        <v>3354</v>
      </c>
      <c r="Y108" s="212" t="s">
        <v>1638</v>
      </c>
      <c r="Z108" s="212" t="s">
        <v>1639</v>
      </c>
      <c r="AA108" s="212" t="s">
        <v>1640</v>
      </c>
      <c r="AB108" s="212" t="s">
        <v>1641</v>
      </c>
      <c r="AC108" s="200" t="s">
        <v>1642</v>
      </c>
      <c r="AD108" s="200" t="s">
        <v>1718</v>
      </c>
      <c r="AE108" s="200" t="s">
        <v>1644</v>
      </c>
      <c r="AF108" s="200" t="s">
        <v>1885</v>
      </c>
      <c r="AG108" s="200" t="s">
        <v>1700</v>
      </c>
      <c r="AH108" s="200" t="s">
        <v>1778</v>
      </c>
      <c r="AI108" s="200" t="s">
        <v>1648</v>
      </c>
      <c r="AJ108" s="15" t="s">
        <v>3355</v>
      </c>
      <c r="AK108" s="204" t="s">
        <v>1802</v>
      </c>
      <c r="AL108" s="204" t="s">
        <v>1803</v>
      </c>
      <c r="AM108" s="204" t="s">
        <v>1915</v>
      </c>
      <c r="AN108" s="204" t="s">
        <v>1863</v>
      </c>
      <c r="AO108" s="204" t="s">
        <v>1654</v>
      </c>
      <c r="AP108" s="204" t="s">
        <v>1754</v>
      </c>
      <c r="AQ108" s="205" t="s">
        <v>3356</v>
      </c>
      <c r="AR108" s="206" t="s">
        <v>1805</v>
      </c>
      <c r="AS108" s="178"/>
      <c r="AT108" s="178"/>
      <c r="AU108" s="178"/>
      <c r="AV108" s="178"/>
      <c r="AW108" s="178"/>
      <c r="AX108" s="178"/>
      <c r="AY108" s="178"/>
      <c r="AZ108" s="178"/>
      <c r="BA108" s="178"/>
      <c r="BB108" s="178"/>
      <c r="BC108" s="178"/>
      <c r="BD108" s="178"/>
      <c r="BE108" s="178"/>
      <c r="BF108" s="178"/>
      <c r="BG108" s="178"/>
      <c r="BH108" s="178"/>
      <c r="BI108" s="178"/>
      <c r="BJ108" s="178"/>
      <c r="BK108" s="178"/>
      <c r="BL108" s="178"/>
      <c r="BM108" s="178"/>
      <c r="BN108" s="178"/>
      <c r="BO108" s="178"/>
      <c r="BP108" s="178"/>
      <c r="BQ108" s="178"/>
      <c r="BR108" s="178"/>
      <c r="BS108" s="178"/>
      <c r="BT108" s="178"/>
      <c r="BU108" s="178"/>
    </row>
    <row r="109" spans="2:73" ht="39.75" customHeight="1" x14ac:dyDescent="0.25">
      <c r="B109" s="178"/>
      <c r="C109" s="211">
        <f t="shared" si="0"/>
        <v>103</v>
      </c>
      <c r="D109" s="182" t="s">
        <v>3357</v>
      </c>
      <c r="E109" s="182" t="s">
        <v>3358</v>
      </c>
      <c r="F109" s="182" t="s">
        <v>3359</v>
      </c>
      <c r="G109" s="182" t="s">
        <v>3360</v>
      </c>
      <c r="H109" s="182" t="s">
        <v>3361</v>
      </c>
      <c r="I109" s="182" t="s">
        <v>3362</v>
      </c>
      <c r="J109" s="182" t="s">
        <v>3363</v>
      </c>
      <c r="K109" s="182" t="s">
        <v>3364</v>
      </c>
      <c r="L109" s="182" t="s">
        <v>3365</v>
      </c>
      <c r="M109" s="195" t="s">
        <v>3366</v>
      </c>
      <c r="N109" s="196" t="s">
        <v>3367</v>
      </c>
      <c r="O109" s="195" t="s">
        <v>3368</v>
      </c>
      <c r="P109" s="195" t="s">
        <v>1629</v>
      </c>
      <c r="Q109" s="195" t="s">
        <v>3369</v>
      </c>
      <c r="R109" s="182" t="s">
        <v>3370</v>
      </c>
      <c r="S109" s="182" t="s">
        <v>3371</v>
      </c>
      <c r="T109" s="182" t="s">
        <v>3372</v>
      </c>
      <c r="U109" s="182" t="s">
        <v>3373</v>
      </c>
      <c r="V109" s="210" t="s">
        <v>3374</v>
      </c>
      <c r="W109" s="210" t="s">
        <v>3375</v>
      </c>
      <c r="X109" s="209" t="s">
        <v>3376</v>
      </c>
      <c r="Y109" s="212" t="s">
        <v>1907</v>
      </c>
      <c r="Z109" s="212" t="s">
        <v>1908</v>
      </c>
      <c r="AA109" s="212" t="s">
        <v>1909</v>
      </c>
      <c r="AB109" s="212" t="s">
        <v>1800</v>
      </c>
      <c r="AC109" s="200" t="s">
        <v>1642</v>
      </c>
      <c r="AD109" s="200" t="s">
        <v>3377</v>
      </c>
      <c r="AE109" s="200" t="s">
        <v>1644</v>
      </c>
      <c r="AF109" s="200" t="s">
        <v>1719</v>
      </c>
      <c r="AG109" s="200" t="s">
        <v>1678</v>
      </c>
      <c r="AH109" s="200" t="s">
        <v>1677</v>
      </c>
      <c r="AI109" s="200" t="s">
        <v>1648</v>
      </c>
      <c r="AJ109" s="15" t="s">
        <v>3378</v>
      </c>
      <c r="AK109" s="201" t="s">
        <v>1650</v>
      </c>
      <c r="AL109" s="201" t="s">
        <v>1651</v>
      </c>
      <c r="AM109" s="201" t="s">
        <v>1652</v>
      </c>
      <c r="AN109" s="201" t="s">
        <v>1645</v>
      </c>
      <c r="AO109" s="201" t="s">
        <v>1654</v>
      </c>
      <c r="AP109" s="201" t="s">
        <v>1655</v>
      </c>
      <c r="AQ109" s="202" t="s">
        <v>3379</v>
      </c>
      <c r="AR109" s="203" t="s">
        <v>1657</v>
      </c>
      <c r="AS109" s="178"/>
      <c r="AT109" s="178"/>
      <c r="AU109" s="178"/>
      <c r="AV109" s="178"/>
      <c r="AW109" s="178"/>
      <c r="AX109" s="178"/>
      <c r="AY109" s="178"/>
      <c r="AZ109" s="178"/>
      <c r="BA109" s="178"/>
      <c r="BB109" s="178"/>
      <c r="BC109" s="178"/>
      <c r="BD109" s="178"/>
      <c r="BE109" s="178"/>
      <c r="BF109" s="178"/>
      <c r="BG109" s="178"/>
      <c r="BH109" s="178"/>
      <c r="BI109" s="178"/>
      <c r="BJ109" s="178"/>
      <c r="BK109" s="178"/>
      <c r="BL109" s="178"/>
      <c r="BM109" s="178"/>
      <c r="BN109" s="178"/>
      <c r="BO109" s="178"/>
      <c r="BP109" s="178"/>
      <c r="BQ109" s="178"/>
      <c r="BR109" s="178"/>
      <c r="BS109" s="178"/>
      <c r="BT109" s="178"/>
      <c r="BU109" s="178"/>
    </row>
    <row r="110" spans="2:73" ht="39.75" customHeight="1" x14ac:dyDescent="0.25">
      <c r="B110" s="178"/>
      <c r="C110" s="211">
        <f t="shared" si="0"/>
        <v>104</v>
      </c>
      <c r="D110" s="182" t="s">
        <v>3380</v>
      </c>
      <c r="E110" s="182" t="s">
        <v>3381</v>
      </c>
      <c r="F110" s="182" t="s">
        <v>3382</v>
      </c>
      <c r="G110" s="182" t="s">
        <v>3383</v>
      </c>
      <c r="H110" s="182" t="s">
        <v>3384</v>
      </c>
      <c r="I110" s="182" t="s">
        <v>3385</v>
      </c>
      <c r="J110" s="182" t="s">
        <v>3386</v>
      </c>
      <c r="K110" s="182" t="s">
        <v>3387</v>
      </c>
      <c r="L110" s="182" t="s">
        <v>3388</v>
      </c>
      <c r="M110" s="195" t="s">
        <v>3389</v>
      </c>
      <c r="N110" s="196" t="s">
        <v>3390</v>
      </c>
      <c r="O110" s="195" t="s">
        <v>3391</v>
      </c>
      <c r="P110" s="195" t="s">
        <v>2199</v>
      </c>
      <c r="Q110" s="195" t="s">
        <v>3392</v>
      </c>
      <c r="R110" s="182" t="s">
        <v>3393</v>
      </c>
      <c r="S110" s="182" t="s">
        <v>3394</v>
      </c>
      <c r="T110" s="182" t="s">
        <v>3395</v>
      </c>
      <c r="U110" s="182" t="s">
        <v>3373</v>
      </c>
      <c r="V110" s="210" t="s">
        <v>3396</v>
      </c>
      <c r="W110" s="210" t="s">
        <v>3397</v>
      </c>
      <c r="X110" s="209" t="s">
        <v>3398</v>
      </c>
      <c r="Y110" s="212" t="s">
        <v>1907</v>
      </c>
      <c r="Z110" s="212" t="s">
        <v>1908</v>
      </c>
      <c r="AA110" s="212" t="s">
        <v>1909</v>
      </c>
      <c r="AB110" s="212" t="s">
        <v>1800</v>
      </c>
      <c r="AC110" s="200" t="s">
        <v>1642</v>
      </c>
      <c r="AD110" s="200" t="s">
        <v>1718</v>
      </c>
      <c r="AE110" s="200" t="s">
        <v>1644</v>
      </c>
      <c r="AF110" s="200" t="s">
        <v>1645</v>
      </c>
      <c r="AG110" s="200" t="s">
        <v>1646</v>
      </c>
      <c r="AH110" s="200" t="s">
        <v>1778</v>
      </c>
      <c r="AI110" s="200" t="s">
        <v>1648</v>
      </c>
      <c r="AJ110" s="15" t="s">
        <v>3399</v>
      </c>
      <c r="AK110" s="204" t="s">
        <v>2185</v>
      </c>
      <c r="AL110" s="204" t="s">
        <v>2186</v>
      </c>
      <c r="AM110" s="204" t="s">
        <v>2209</v>
      </c>
      <c r="AN110" s="204" t="s">
        <v>1653</v>
      </c>
      <c r="AO110" s="204" t="s">
        <v>1654</v>
      </c>
      <c r="AP110" s="204" t="s">
        <v>1655</v>
      </c>
      <c r="AQ110" s="205" t="s">
        <v>2210</v>
      </c>
      <c r="AR110" s="206" t="s">
        <v>2189</v>
      </c>
      <c r="AS110" s="178"/>
      <c r="AT110" s="178"/>
      <c r="AU110" s="178"/>
      <c r="AV110" s="178"/>
      <c r="AW110" s="178"/>
      <c r="AX110" s="178"/>
      <c r="AY110" s="178"/>
      <c r="AZ110" s="178"/>
      <c r="BA110" s="178"/>
      <c r="BB110" s="178"/>
      <c r="BC110" s="178"/>
      <c r="BD110" s="178"/>
      <c r="BE110" s="178"/>
      <c r="BF110" s="178"/>
      <c r="BG110" s="178"/>
      <c r="BH110" s="178"/>
      <c r="BI110" s="178"/>
      <c r="BJ110" s="178"/>
      <c r="BK110" s="178"/>
      <c r="BL110" s="178"/>
      <c r="BM110" s="178"/>
      <c r="BN110" s="178"/>
      <c r="BO110" s="178"/>
      <c r="BP110" s="178"/>
      <c r="BQ110" s="178"/>
      <c r="BR110" s="178"/>
      <c r="BS110" s="178"/>
      <c r="BT110" s="178"/>
      <c r="BU110" s="178"/>
    </row>
    <row r="111" spans="2:73" ht="39.75" customHeight="1" x14ac:dyDescent="0.25">
      <c r="B111" s="178"/>
      <c r="C111" s="211">
        <f t="shared" si="0"/>
        <v>105</v>
      </c>
      <c r="D111" s="182" t="s">
        <v>3400</v>
      </c>
      <c r="E111" s="182" t="s">
        <v>3401</v>
      </c>
      <c r="F111" s="182" t="s">
        <v>3402</v>
      </c>
      <c r="G111" s="182" t="s">
        <v>3403</v>
      </c>
      <c r="H111" s="182" t="s">
        <v>1238</v>
      </c>
      <c r="I111" s="182" t="s">
        <v>3404</v>
      </c>
      <c r="J111" s="182" t="s">
        <v>2994</v>
      </c>
      <c r="K111" s="182" t="s">
        <v>3405</v>
      </c>
      <c r="L111" s="182" t="s">
        <v>3406</v>
      </c>
      <c r="M111" s="195" t="s">
        <v>1815</v>
      </c>
      <c r="N111" s="196" t="s">
        <v>3407</v>
      </c>
      <c r="O111" s="195" t="s">
        <v>3408</v>
      </c>
      <c r="P111" s="195" t="s">
        <v>2313</v>
      </c>
      <c r="Q111" s="195" t="s">
        <v>3409</v>
      </c>
      <c r="R111" s="182" t="s">
        <v>3410</v>
      </c>
      <c r="S111" s="182" t="s">
        <v>3411</v>
      </c>
      <c r="T111" s="182" t="s">
        <v>3412</v>
      </c>
      <c r="U111" s="182" t="s">
        <v>3413</v>
      </c>
      <c r="V111" s="210" t="s">
        <v>3414</v>
      </c>
      <c r="W111" s="210" t="s">
        <v>3415</v>
      </c>
      <c r="X111" s="209" t="s">
        <v>3416</v>
      </c>
      <c r="Y111" s="212" t="s">
        <v>1907</v>
      </c>
      <c r="Z111" s="212" t="s">
        <v>1908</v>
      </c>
      <c r="AA111" s="212" t="s">
        <v>1909</v>
      </c>
      <c r="AB111" s="212" t="s">
        <v>1800</v>
      </c>
      <c r="AC111" s="200" t="s">
        <v>1746</v>
      </c>
      <c r="AD111" s="200" t="s">
        <v>1718</v>
      </c>
      <c r="AE111" s="200" t="s">
        <v>1644</v>
      </c>
      <c r="AF111" s="200" t="s">
        <v>2320</v>
      </c>
      <c r="AG111" s="200" t="s">
        <v>1749</v>
      </c>
      <c r="AH111" s="200" t="s">
        <v>1863</v>
      </c>
      <c r="AI111" s="200" t="s">
        <v>1648</v>
      </c>
      <c r="AJ111" s="15" t="s">
        <v>2589</v>
      </c>
      <c r="AK111" s="201" t="s">
        <v>1860</v>
      </c>
      <c r="AL111" s="201" t="s">
        <v>1861</v>
      </c>
      <c r="AM111" s="201" t="s">
        <v>1915</v>
      </c>
      <c r="AN111" s="201" t="s">
        <v>1863</v>
      </c>
      <c r="AO111" s="201" t="s">
        <v>1654</v>
      </c>
      <c r="AP111" s="201" t="s">
        <v>1754</v>
      </c>
      <c r="AQ111" s="202" t="s">
        <v>3417</v>
      </c>
      <c r="AR111" s="203" t="s">
        <v>1865</v>
      </c>
      <c r="AS111" s="178"/>
      <c r="AT111" s="178"/>
      <c r="AU111" s="178"/>
      <c r="AV111" s="178"/>
      <c r="AW111" s="178"/>
      <c r="AX111" s="178"/>
      <c r="AY111" s="178"/>
      <c r="AZ111" s="178"/>
      <c r="BA111" s="178"/>
      <c r="BB111" s="178"/>
      <c r="BC111" s="178"/>
      <c r="BD111" s="178"/>
      <c r="BE111" s="178"/>
      <c r="BF111" s="178"/>
      <c r="BG111" s="178"/>
      <c r="BH111" s="178"/>
      <c r="BI111" s="178"/>
      <c r="BJ111" s="178"/>
      <c r="BK111" s="178"/>
      <c r="BL111" s="178"/>
      <c r="BM111" s="178"/>
      <c r="BN111" s="178"/>
      <c r="BO111" s="178"/>
      <c r="BP111" s="178"/>
      <c r="BQ111" s="178"/>
      <c r="BR111" s="178"/>
      <c r="BS111" s="178"/>
      <c r="BT111" s="178"/>
      <c r="BU111" s="178"/>
    </row>
    <row r="112" spans="2:73" ht="39.75" customHeight="1" x14ac:dyDescent="0.25">
      <c r="B112" s="178"/>
      <c r="C112" s="211">
        <f t="shared" si="0"/>
        <v>106</v>
      </c>
      <c r="D112" s="182" t="s">
        <v>3418</v>
      </c>
      <c r="E112" s="182" t="s">
        <v>3419</v>
      </c>
      <c r="F112" s="182" t="s">
        <v>3420</v>
      </c>
      <c r="G112" s="182" t="s">
        <v>3421</v>
      </c>
      <c r="H112" s="182" t="s">
        <v>3340</v>
      </c>
      <c r="I112" s="182" t="s">
        <v>3422</v>
      </c>
      <c r="J112" s="182" t="s">
        <v>2862</v>
      </c>
      <c r="K112" s="182" t="s">
        <v>3423</v>
      </c>
      <c r="L112" s="182" t="s">
        <v>3424</v>
      </c>
      <c r="M112" s="195" t="s">
        <v>2218</v>
      </c>
      <c r="N112" s="196" t="s">
        <v>3425</v>
      </c>
      <c r="O112" s="195" t="s">
        <v>3426</v>
      </c>
      <c r="P112" s="195" t="s">
        <v>2129</v>
      </c>
      <c r="Q112" s="195" t="s">
        <v>3427</v>
      </c>
      <c r="R112" s="182" t="s">
        <v>1036</v>
      </c>
      <c r="S112" s="182" t="s">
        <v>3428</v>
      </c>
      <c r="T112" s="182" t="s">
        <v>3429</v>
      </c>
      <c r="U112" s="182" t="s">
        <v>3373</v>
      </c>
      <c r="V112" s="210" t="s">
        <v>3430</v>
      </c>
      <c r="W112" s="210" t="s">
        <v>3431</v>
      </c>
      <c r="X112" s="209" t="s">
        <v>3432</v>
      </c>
      <c r="Y112" s="212" t="s">
        <v>1907</v>
      </c>
      <c r="Z112" s="212" t="s">
        <v>1908</v>
      </c>
      <c r="AA112" s="212" t="s">
        <v>1909</v>
      </c>
      <c r="AB112" s="212" t="s">
        <v>1800</v>
      </c>
      <c r="AC112" s="200" t="s">
        <v>2140</v>
      </c>
      <c r="AD112" s="200" t="s">
        <v>1718</v>
      </c>
      <c r="AE112" s="200" t="s">
        <v>2141</v>
      </c>
      <c r="AF112" s="200" t="s">
        <v>1719</v>
      </c>
      <c r="AG112" s="200" t="s">
        <v>1777</v>
      </c>
      <c r="AH112" s="200" t="s">
        <v>3433</v>
      </c>
      <c r="AI112" s="200" t="s">
        <v>1648</v>
      </c>
      <c r="AJ112" s="15" t="s">
        <v>3434</v>
      </c>
      <c r="AK112" s="204" t="s">
        <v>1829</v>
      </c>
      <c r="AL112" s="204" t="s">
        <v>1830</v>
      </c>
      <c r="AM112" s="204" t="s">
        <v>2143</v>
      </c>
      <c r="AN112" s="204" t="s">
        <v>1653</v>
      </c>
      <c r="AO112" s="204" t="s">
        <v>1654</v>
      </c>
      <c r="AP112" s="204" t="s">
        <v>1655</v>
      </c>
      <c r="AQ112" s="205" t="s">
        <v>3435</v>
      </c>
      <c r="AR112" s="206" t="s">
        <v>1832</v>
      </c>
      <c r="AS112" s="178"/>
      <c r="AT112" s="178"/>
      <c r="AU112" s="178"/>
      <c r="AV112" s="178"/>
      <c r="AW112" s="178"/>
      <c r="AX112" s="178"/>
      <c r="AY112" s="178"/>
      <c r="AZ112" s="178"/>
      <c r="BA112" s="178"/>
      <c r="BB112" s="178"/>
      <c r="BC112" s="178"/>
      <c r="BD112" s="178"/>
      <c r="BE112" s="178"/>
      <c r="BF112" s="178"/>
      <c r="BG112" s="178"/>
      <c r="BH112" s="178"/>
      <c r="BI112" s="178"/>
      <c r="BJ112" s="178"/>
      <c r="BK112" s="178"/>
      <c r="BL112" s="178"/>
      <c r="BM112" s="178"/>
      <c r="BN112" s="178"/>
      <c r="BO112" s="178"/>
      <c r="BP112" s="178"/>
      <c r="BQ112" s="178"/>
      <c r="BR112" s="178"/>
      <c r="BS112" s="178"/>
      <c r="BT112" s="178"/>
      <c r="BU112" s="178"/>
    </row>
    <row r="113" spans="2:73" ht="39.75" customHeight="1" x14ac:dyDescent="0.25">
      <c r="B113" s="178"/>
      <c r="C113" s="211">
        <f t="shared" si="0"/>
        <v>107</v>
      </c>
      <c r="D113" s="182" t="s">
        <v>3436</v>
      </c>
      <c r="E113" s="182" t="s">
        <v>3437</v>
      </c>
      <c r="F113" s="182" t="s">
        <v>3438</v>
      </c>
      <c r="G113" s="182" t="s">
        <v>3439</v>
      </c>
      <c r="H113" s="182" t="s">
        <v>3440</v>
      </c>
      <c r="I113" s="182" t="s">
        <v>3441</v>
      </c>
      <c r="J113" s="182" t="s">
        <v>3442</v>
      </c>
      <c r="K113" s="182" t="s">
        <v>3443</v>
      </c>
      <c r="L113" s="182" t="s">
        <v>1874</v>
      </c>
      <c r="M113" s="195" t="s">
        <v>2218</v>
      </c>
      <c r="N113" s="196" t="s">
        <v>3444</v>
      </c>
      <c r="O113" s="195" t="s">
        <v>3439</v>
      </c>
      <c r="P113" s="195" t="s">
        <v>2129</v>
      </c>
      <c r="Q113" s="195" t="s">
        <v>3445</v>
      </c>
      <c r="R113" s="182" t="s">
        <v>3446</v>
      </c>
      <c r="S113" s="182" t="s">
        <v>3447</v>
      </c>
      <c r="T113" s="182" t="s">
        <v>3429</v>
      </c>
      <c r="U113" s="182" t="s">
        <v>3448</v>
      </c>
      <c r="V113" s="210" t="s">
        <v>3449</v>
      </c>
      <c r="W113" s="210" t="s">
        <v>3450</v>
      </c>
      <c r="X113" s="209" t="s">
        <v>3451</v>
      </c>
      <c r="Y113" s="212" t="s">
        <v>1907</v>
      </c>
      <c r="Z113" s="212" t="s">
        <v>1908</v>
      </c>
      <c r="AA113" s="212" t="s">
        <v>1909</v>
      </c>
      <c r="AB113" s="212" t="s">
        <v>1800</v>
      </c>
      <c r="AC113" s="200" t="s">
        <v>2140</v>
      </c>
      <c r="AD113" s="200" t="s">
        <v>1718</v>
      </c>
      <c r="AE113" s="200" t="s">
        <v>1644</v>
      </c>
      <c r="AF113" s="200" t="s">
        <v>1719</v>
      </c>
      <c r="AG113" s="200" t="s">
        <v>1646</v>
      </c>
      <c r="AH113" s="200" t="s">
        <v>1677</v>
      </c>
      <c r="AI113" s="200" t="s">
        <v>1648</v>
      </c>
      <c r="AJ113" s="15" t="s">
        <v>3452</v>
      </c>
      <c r="AK113" s="201" t="s">
        <v>2143</v>
      </c>
      <c r="AL113" s="201" t="s">
        <v>1984</v>
      </c>
      <c r="AM113" s="201" t="s">
        <v>2143</v>
      </c>
      <c r="AN113" s="201" t="s">
        <v>1653</v>
      </c>
      <c r="AO113" s="201" t="s">
        <v>1654</v>
      </c>
      <c r="AP113" s="201" t="s">
        <v>1917</v>
      </c>
      <c r="AQ113" s="202" t="s">
        <v>3453</v>
      </c>
      <c r="AR113" s="203" t="s">
        <v>1986</v>
      </c>
      <c r="AS113" s="178"/>
      <c r="AT113" s="178"/>
      <c r="AU113" s="178"/>
      <c r="AV113" s="178"/>
      <c r="AW113" s="178"/>
      <c r="AX113" s="178"/>
      <c r="AY113" s="178"/>
      <c r="AZ113" s="178"/>
      <c r="BA113" s="178"/>
      <c r="BB113" s="178"/>
      <c r="BC113" s="178"/>
      <c r="BD113" s="178"/>
      <c r="BE113" s="178"/>
      <c r="BF113" s="178"/>
      <c r="BG113" s="178"/>
      <c r="BH113" s="178"/>
      <c r="BI113" s="178"/>
      <c r="BJ113" s="178"/>
      <c r="BK113" s="178"/>
      <c r="BL113" s="178"/>
      <c r="BM113" s="178"/>
      <c r="BN113" s="178"/>
      <c r="BO113" s="178"/>
      <c r="BP113" s="178"/>
      <c r="BQ113" s="178"/>
      <c r="BR113" s="178"/>
      <c r="BS113" s="178"/>
      <c r="BT113" s="178"/>
      <c r="BU113" s="178"/>
    </row>
    <row r="114" spans="2:73" ht="39.75" customHeight="1" x14ac:dyDescent="0.25">
      <c r="B114" s="178"/>
      <c r="C114" s="211">
        <f t="shared" si="0"/>
        <v>108</v>
      </c>
      <c r="D114" s="182" t="s">
        <v>3454</v>
      </c>
      <c r="E114" s="182" t="s">
        <v>3455</v>
      </c>
      <c r="F114" s="182" t="s">
        <v>3456</v>
      </c>
      <c r="G114" s="182" t="s">
        <v>2843</v>
      </c>
      <c r="H114" s="182" t="s">
        <v>3457</v>
      </c>
      <c r="I114" s="182" t="s">
        <v>3458</v>
      </c>
      <c r="J114" s="182" t="s">
        <v>3459</v>
      </c>
      <c r="K114" s="182" t="s">
        <v>3460</v>
      </c>
      <c r="L114" s="182" t="s">
        <v>3365</v>
      </c>
      <c r="M114" s="195" t="s">
        <v>3461</v>
      </c>
      <c r="N114" s="196" t="s">
        <v>3462</v>
      </c>
      <c r="O114" s="195" t="s">
        <v>3463</v>
      </c>
      <c r="P114" s="195" t="s">
        <v>2847</v>
      </c>
      <c r="Q114" s="195" t="s">
        <v>3464</v>
      </c>
      <c r="R114" s="182" t="s">
        <v>3465</v>
      </c>
      <c r="S114" s="182" t="s">
        <v>3466</v>
      </c>
      <c r="T114" s="182" t="s">
        <v>3223</v>
      </c>
      <c r="U114" s="182" t="s">
        <v>3373</v>
      </c>
      <c r="V114" s="210" t="s">
        <v>3467</v>
      </c>
      <c r="W114" s="210" t="s">
        <v>3468</v>
      </c>
      <c r="X114" s="209" t="s">
        <v>3469</v>
      </c>
      <c r="Y114" s="212" t="s">
        <v>1907</v>
      </c>
      <c r="Z114" s="212" t="s">
        <v>1908</v>
      </c>
      <c r="AA114" s="212" t="s">
        <v>1909</v>
      </c>
      <c r="AB114" s="212" t="s">
        <v>1800</v>
      </c>
      <c r="AC114" s="200" t="s">
        <v>2140</v>
      </c>
      <c r="AD114" s="200" t="s">
        <v>2853</v>
      </c>
      <c r="AE114" s="200" t="s">
        <v>1644</v>
      </c>
      <c r="AF114" s="200" t="s">
        <v>1885</v>
      </c>
      <c r="AG114" s="200" t="s">
        <v>1857</v>
      </c>
      <c r="AH114" s="200" t="s">
        <v>1677</v>
      </c>
      <c r="AI114" s="200" t="s">
        <v>1648</v>
      </c>
      <c r="AJ114" s="15" t="s">
        <v>3470</v>
      </c>
      <c r="AK114" s="204" t="s">
        <v>2604</v>
      </c>
      <c r="AL114" s="204" t="s">
        <v>1984</v>
      </c>
      <c r="AM114" s="204" t="s">
        <v>2604</v>
      </c>
      <c r="AN114" s="204" t="s">
        <v>1863</v>
      </c>
      <c r="AO114" s="204" t="s">
        <v>2144</v>
      </c>
      <c r="AP114" s="204" t="s">
        <v>1917</v>
      </c>
      <c r="AQ114" s="205" t="s">
        <v>3471</v>
      </c>
      <c r="AR114" s="206" t="s">
        <v>1986</v>
      </c>
      <c r="AS114" s="178"/>
      <c r="AT114" s="178"/>
      <c r="AU114" s="178"/>
      <c r="AV114" s="178"/>
      <c r="AW114" s="178"/>
      <c r="AX114" s="178"/>
      <c r="AY114" s="178"/>
      <c r="AZ114" s="178"/>
      <c r="BA114" s="178"/>
      <c r="BB114" s="178"/>
      <c r="BC114" s="178"/>
      <c r="BD114" s="178"/>
      <c r="BE114" s="178"/>
      <c r="BF114" s="178"/>
      <c r="BG114" s="178"/>
      <c r="BH114" s="178"/>
      <c r="BI114" s="178"/>
      <c r="BJ114" s="178"/>
      <c r="BK114" s="178"/>
      <c r="BL114" s="178"/>
      <c r="BM114" s="178"/>
      <c r="BN114" s="178"/>
      <c r="BO114" s="178"/>
      <c r="BP114" s="178"/>
      <c r="BQ114" s="178"/>
      <c r="BR114" s="178"/>
      <c r="BS114" s="178"/>
      <c r="BT114" s="178"/>
      <c r="BU114" s="178"/>
    </row>
    <row r="115" spans="2:73" ht="39.75" customHeight="1" x14ac:dyDescent="0.25">
      <c r="B115" s="178"/>
      <c r="C115" s="211">
        <f t="shared" si="0"/>
        <v>109</v>
      </c>
      <c r="D115" s="182" t="s">
        <v>3472</v>
      </c>
      <c r="E115" s="182" t="s">
        <v>3473</v>
      </c>
      <c r="F115" s="182" t="s">
        <v>3474</v>
      </c>
      <c r="G115" s="182" t="s">
        <v>2015</v>
      </c>
      <c r="H115" s="182" t="s">
        <v>3340</v>
      </c>
      <c r="I115" s="182" t="s">
        <v>3475</v>
      </c>
      <c r="J115" s="182" t="s">
        <v>3476</v>
      </c>
      <c r="K115" s="182" t="s">
        <v>3477</v>
      </c>
      <c r="L115" s="182" t="s">
        <v>3478</v>
      </c>
      <c r="M115" s="195" t="s">
        <v>3479</v>
      </c>
      <c r="N115" s="196" t="s">
        <v>3480</v>
      </c>
      <c r="O115" s="195" t="s">
        <v>2015</v>
      </c>
      <c r="P115" s="195" t="s">
        <v>2874</v>
      </c>
      <c r="Q115" s="195" t="s">
        <v>3481</v>
      </c>
      <c r="R115" s="182" t="s">
        <v>3482</v>
      </c>
      <c r="S115" s="182" t="s">
        <v>3483</v>
      </c>
      <c r="T115" s="182" t="s">
        <v>3484</v>
      </c>
      <c r="U115" s="182" t="s">
        <v>3373</v>
      </c>
      <c r="V115" s="210" t="s">
        <v>3485</v>
      </c>
      <c r="W115" s="210" t="s">
        <v>3486</v>
      </c>
      <c r="X115" s="209" t="s">
        <v>3487</v>
      </c>
      <c r="Y115" s="212" t="s">
        <v>1907</v>
      </c>
      <c r="Z115" s="212" t="s">
        <v>1908</v>
      </c>
      <c r="AA115" s="212" t="s">
        <v>1909</v>
      </c>
      <c r="AB115" s="212" t="s">
        <v>1800</v>
      </c>
      <c r="AC115" s="200" t="s">
        <v>2183</v>
      </c>
      <c r="AD115" s="200" t="s">
        <v>2925</v>
      </c>
      <c r="AE115" s="200" t="s">
        <v>2183</v>
      </c>
      <c r="AF115" s="200" t="s">
        <v>1653</v>
      </c>
      <c r="AG115" s="200" t="s">
        <v>1749</v>
      </c>
      <c r="AH115" s="200" t="s">
        <v>1778</v>
      </c>
      <c r="AI115" s="200" t="s">
        <v>1648</v>
      </c>
      <c r="AJ115" s="15" t="s">
        <v>3488</v>
      </c>
      <c r="AK115" s="201" t="s">
        <v>2185</v>
      </c>
      <c r="AL115" s="201" t="s">
        <v>2186</v>
      </c>
      <c r="AM115" s="201" t="s">
        <v>2880</v>
      </c>
      <c r="AN115" s="201" t="s">
        <v>1653</v>
      </c>
      <c r="AO115" s="201" t="s">
        <v>1654</v>
      </c>
      <c r="AP115" s="201" t="s">
        <v>1655</v>
      </c>
      <c r="AQ115" s="202" t="s">
        <v>3489</v>
      </c>
      <c r="AR115" s="203" t="s">
        <v>2189</v>
      </c>
      <c r="AS115" s="178"/>
      <c r="AT115" s="178"/>
      <c r="AU115" s="178"/>
      <c r="AV115" s="178"/>
      <c r="AW115" s="178"/>
      <c r="AX115" s="178"/>
      <c r="AY115" s="178"/>
      <c r="AZ115" s="178"/>
      <c r="BA115" s="178"/>
      <c r="BB115" s="178"/>
      <c r="BC115" s="178"/>
      <c r="BD115" s="178"/>
      <c r="BE115" s="178"/>
      <c r="BF115" s="178"/>
      <c r="BG115" s="178"/>
      <c r="BH115" s="178"/>
      <c r="BI115" s="178"/>
      <c r="BJ115" s="178"/>
      <c r="BK115" s="178"/>
      <c r="BL115" s="178"/>
      <c r="BM115" s="178"/>
      <c r="BN115" s="178"/>
      <c r="BO115" s="178"/>
      <c r="BP115" s="178"/>
      <c r="BQ115" s="178"/>
      <c r="BR115" s="178"/>
      <c r="BS115" s="178"/>
      <c r="BT115" s="178"/>
      <c r="BU115" s="178"/>
    </row>
    <row r="116" spans="2:73" ht="39.75" customHeight="1" x14ac:dyDescent="0.25">
      <c r="B116" s="178"/>
      <c r="C116" s="211">
        <f t="shared" si="0"/>
        <v>110</v>
      </c>
      <c r="D116" s="182" t="s">
        <v>3490</v>
      </c>
      <c r="E116" s="182" t="s">
        <v>3491</v>
      </c>
      <c r="F116" s="182" t="s">
        <v>3492</v>
      </c>
      <c r="G116" s="182" t="s">
        <v>3493</v>
      </c>
      <c r="H116" s="182" t="s">
        <v>3494</v>
      </c>
      <c r="I116" s="182" t="s">
        <v>3495</v>
      </c>
      <c r="J116" s="182" t="s">
        <v>3496</v>
      </c>
      <c r="K116" s="182" t="s">
        <v>3477</v>
      </c>
      <c r="L116" s="182" t="s">
        <v>3497</v>
      </c>
      <c r="M116" s="195" t="s">
        <v>2871</v>
      </c>
      <c r="N116" s="196" t="s">
        <v>3498</v>
      </c>
      <c r="O116" s="195" t="s">
        <v>3499</v>
      </c>
      <c r="P116" s="195" t="s">
        <v>2874</v>
      </c>
      <c r="Q116" s="195" t="s">
        <v>3500</v>
      </c>
      <c r="R116" s="182" t="s">
        <v>3501</v>
      </c>
      <c r="S116" s="182" t="s">
        <v>3502</v>
      </c>
      <c r="T116" s="182" t="s">
        <v>3503</v>
      </c>
      <c r="U116" s="182" t="s">
        <v>3373</v>
      </c>
      <c r="V116" s="210" t="s">
        <v>3504</v>
      </c>
      <c r="W116" s="209" t="s">
        <v>3505</v>
      </c>
      <c r="X116" s="209" t="s">
        <v>3506</v>
      </c>
      <c r="Y116" s="212" t="s">
        <v>1907</v>
      </c>
      <c r="Z116" s="212" t="s">
        <v>1908</v>
      </c>
      <c r="AA116" s="212" t="s">
        <v>1909</v>
      </c>
      <c r="AB116" s="212" t="s">
        <v>1800</v>
      </c>
      <c r="AC116" s="200" t="s">
        <v>1746</v>
      </c>
      <c r="AD116" s="200" t="s">
        <v>1718</v>
      </c>
      <c r="AE116" s="200" t="s">
        <v>1644</v>
      </c>
      <c r="AF116" s="200" t="s">
        <v>1885</v>
      </c>
      <c r="AG116" s="200" t="s">
        <v>1777</v>
      </c>
      <c r="AH116" s="200" t="s">
        <v>1863</v>
      </c>
      <c r="AI116" s="200" t="s">
        <v>1648</v>
      </c>
      <c r="AJ116" s="15" t="s">
        <v>3507</v>
      </c>
      <c r="AK116" s="204" t="s">
        <v>1829</v>
      </c>
      <c r="AL116" s="204" t="s">
        <v>1830</v>
      </c>
      <c r="AM116" s="204" t="s">
        <v>2880</v>
      </c>
      <c r="AN116" s="204" t="s">
        <v>1653</v>
      </c>
      <c r="AO116" s="204" t="s">
        <v>1654</v>
      </c>
      <c r="AP116" s="204" t="s">
        <v>1655</v>
      </c>
      <c r="AQ116" s="205" t="s">
        <v>3508</v>
      </c>
      <c r="AR116" s="206" t="s">
        <v>1832</v>
      </c>
      <c r="AS116" s="178"/>
      <c r="AT116" s="178"/>
      <c r="AU116" s="178"/>
      <c r="AV116" s="178"/>
      <c r="AW116" s="178"/>
      <c r="AX116" s="178"/>
      <c r="AY116" s="178"/>
      <c r="AZ116" s="178"/>
      <c r="BA116" s="178"/>
      <c r="BB116" s="178"/>
      <c r="BC116" s="178"/>
      <c r="BD116" s="178"/>
      <c r="BE116" s="178"/>
      <c r="BF116" s="178"/>
      <c r="BG116" s="178"/>
      <c r="BH116" s="178"/>
      <c r="BI116" s="178"/>
      <c r="BJ116" s="178"/>
      <c r="BK116" s="178"/>
      <c r="BL116" s="178"/>
      <c r="BM116" s="178"/>
      <c r="BN116" s="178"/>
      <c r="BO116" s="178"/>
      <c r="BP116" s="178"/>
      <c r="BQ116" s="178"/>
      <c r="BR116" s="178"/>
      <c r="BS116" s="178"/>
      <c r="BT116" s="178"/>
      <c r="BU116" s="178"/>
    </row>
    <row r="117" spans="2:73" ht="39.75" customHeight="1" x14ac:dyDescent="0.25">
      <c r="B117" s="178"/>
      <c r="C117" s="211">
        <f t="shared" si="0"/>
        <v>111</v>
      </c>
      <c r="D117" s="182" t="s">
        <v>3509</v>
      </c>
      <c r="E117" s="182" t="s">
        <v>3510</v>
      </c>
      <c r="F117" s="182" t="s">
        <v>3511</v>
      </c>
      <c r="G117" s="182" t="s">
        <v>3512</v>
      </c>
      <c r="H117" s="182" t="s">
        <v>3440</v>
      </c>
      <c r="I117" s="182" t="s">
        <v>3513</v>
      </c>
      <c r="J117" s="182" t="s">
        <v>3514</v>
      </c>
      <c r="K117" s="182" t="s">
        <v>3515</v>
      </c>
      <c r="L117" s="182" t="s">
        <v>1874</v>
      </c>
      <c r="M117" s="195" t="s">
        <v>1967</v>
      </c>
      <c r="N117" s="196" t="s">
        <v>3516</v>
      </c>
      <c r="O117" s="195" t="s">
        <v>1190</v>
      </c>
      <c r="P117" s="195" t="s">
        <v>1970</v>
      </c>
      <c r="Q117" s="195" t="s">
        <v>3517</v>
      </c>
      <c r="R117" s="182" t="s">
        <v>3518</v>
      </c>
      <c r="S117" s="182" t="s">
        <v>3519</v>
      </c>
      <c r="T117" s="182" t="s">
        <v>3429</v>
      </c>
      <c r="U117" s="182" t="s">
        <v>3428</v>
      </c>
      <c r="V117" s="210" t="s">
        <v>3520</v>
      </c>
      <c r="W117" s="210" t="s">
        <v>3521</v>
      </c>
      <c r="X117" s="209" t="s">
        <v>3522</v>
      </c>
      <c r="Y117" s="212" t="s">
        <v>1907</v>
      </c>
      <c r="Z117" s="212" t="s">
        <v>1908</v>
      </c>
      <c r="AA117" s="212" t="s">
        <v>1909</v>
      </c>
      <c r="AB117" s="212" t="s">
        <v>1800</v>
      </c>
      <c r="AC117" s="200" t="s">
        <v>2140</v>
      </c>
      <c r="AD117" s="200" t="s">
        <v>2140</v>
      </c>
      <c r="AE117" s="200" t="s">
        <v>2141</v>
      </c>
      <c r="AF117" s="200" t="s">
        <v>1645</v>
      </c>
      <c r="AG117" s="200" t="s">
        <v>1777</v>
      </c>
      <c r="AH117" s="200" t="s">
        <v>1863</v>
      </c>
      <c r="AI117" s="200" t="s">
        <v>1648</v>
      </c>
      <c r="AJ117" s="15" t="s">
        <v>3523</v>
      </c>
      <c r="AK117" s="201" t="s">
        <v>1983</v>
      </c>
      <c r="AL117" s="201" t="s">
        <v>1984</v>
      </c>
      <c r="AM117" s="201" t="s">
        <v>1983</v>
      </c>
      <c r="AN117" s="201" t="s">
        <v>1653</v>
      </c>
      <c r="AO117" s="201" t="s">
        <v>1654</v>
      </c>
      <c r="AP117" s="201" t="s">
        <v>1917</v>
      </c>
      <c r="AQ117" s="202" t="s">
        <v>3524</v>
      </c>
      <c r="AR117" s="203" t="s">
        <v>1986</v>
      </c>
      <c r="AS117" s="178"/>
      <c r="AT117" s="178"/>
      <c r="AU117" s="178"/>
      <c r="AV117" s="178"/>
      <c r="AW117" s="178"/>
      <c r="AX117" s="178"/>
      <c r="AY117" s="178"/>
      <c r="AZ117" s="178"/>
      <c r="BA117" s="178"/>
      <c r="BB117" s="178"/>
      <c r="BC117" s="178"/>
      <c r="BD117" s="178"/>
      <c r="BE117" s="178"/>
      <c r="BF117" s="178"/>
      <c r="BG117" s="178"/>
      <c r="BH117" s="178"/>
      <c r="BI117" s="178"/>
      <c r="BJ117" s="178"/>
      <c r="BK117" s="178"/>
      <c r="BL117" s="178"/>
      <c r="BM117" s="178"/>
      <c r="BN117" s="178"/>
      <c r="BO117" s="178"/>
      <c r="BP117" s="178"/>
      <c r="BQ117" s="178"/>
      <c r="BR117" s="178"/>
      <c r="BS117" s="178"/>
      <c r="BT117" s="178"/>
      <c r="BU117" s="178"/>
    </row>
    <row r="118" spans="2:73" ht="39.75" customHeight="1" x14ac:dyDescent="0.25">
      <c r="B118" s="178"/>
      <c r="C118" s="211">
        <f t="shared" si="0"/>
        <v>112</v>
      </c>
      <c r="D118" s="182" t="s">
        <v>3525</v>
      </c>
      <c r="E118" s="182" t="s">
        <v>3526</v>
      </c>
      <c r="F118" s="182" t="s">
        <v>3527</v>
      </c>
      <c r="G118" s="182" t="s">
        <v>3528</v>
      </c>
      <c r="H118" s="182" t="s">
        <v>3529</v>
      </c>
      <c r="I118" s="182" t="s">
        <v>3530</v>
      </c>
      <c r="J118" s="182" t="s">
        <v>3531</v>
      </c>
      <c r="K118" s="182" t="s">
        <v>3532</v>
      </c>
      <c r="L118" s="182" t="s">
        <v>3533</v>
      </c>
      <c r="M118" s="195" t="s">
        <v>1967</v>
      </c>
      <c r="N118" s="196" t="s">
        <v>3534</v>
      </c>
      <c r="O118" s="195" t="s">
        <v>3535</v>
      </c>
      <c r="P118" s="195" t="s">
        <v>2458</v>
      </c>
      <c r="Q118" s="195" t="s">
        <v>3536</v>
      </c>
      <c r="R118" s="182" t="s">
        <v>3537</v>
      </c>
      <c r="S118" s="182" t="s">
        <v>3538</v>
      </c>
      <c r="T118" s="182" t="s">
        <v>3223</v>
      </c>
      <c r="U118" s="182" t="s">
        <v>3373</v>
      </c>
      <c r="V118" s="210" t="s">
        <v>3539</v>
      </c>
      <c r="W118" s="210" t="s">
        <v>3540</v>
      </c>
      <c r="X118" s="209" t="s">
        <v>3541</v>
      </c>
      <c r="Y118" s="212" t="s">
        <v>3542</v>
      </c>
      <c r="Z118" s="212" t="s">
        <v>3543</v>
      </c>
      <c r="AA118" s="212" t="s">
        <v>3544</v>
      </c>
      <c r="AB118" s="212" t="s">
        <v>3545</v>
      </c>
      <c r="AC118" s="200" t="s">
        <v>1746</v>
      </c>
      <c r="AD118" s="200" t="s">
        <v>1718</v>
      </c>
      <c r="AE118" s="200" t="s">
        <v>1644</v>
      </c>
      <c r="AF118" s="200" t="s">
        <v>1699</v>
      </c>
      <c r="AG118" s="200" t="s">
        <v>1981</v>
      </c>
      <c r="AH118" s="200" t="s">
        <v>1778</v>
      </c>
      <c r="AI118" s="200" t="s">
        <v>1648</v>
      </c>
      <c r="AJ118" s="15" t="s">
        <v>3546</v>
      </c>
      <c r="AK118" s="204" t="s">
        <v>1829</v>
      </c>
      <c r="AL118" s="204" t="s">
        <v>1830</v>
      </c>
      <c r="AM118" s="204" t="s">
        <v>1983</v>
      </c>
      <c r="AN118" s="204" t="s">
        <v>1753</v>
      </c>
      <c r="AO118" s="204" t="s">
        <v>1654</v>
      </c>
      <c r="AP118" s="204" t="s">
        <v>1655</v>
      </c>
      <c r="AQ118" s="205" t="s">
        <v>3547</v>
      </c>
      <c r="AR118" s="206" t="s">
        <v>1832</v>
      </c>
      <c r="AS118" s="178"/>
      <c r="AT118" s="178"/>
      <c r="AU118" s="178"/>
      <c r="AV118" s="178"/>
      <c r="AW118" s="178"/>
      <c r="AX118" s="178"/>
      <c r="AY118" s="178"/>
      <c r="AZ118" s="178"/>
      <c r="BA118" s="178"/>
      <c r="BB118" s="178"/>
      <c r="BC118" s="178"/>
      <c r="BD118" s="178"/>
      <c r="BE118" s="178"/>
      <c r="BF118" s="178"/>
      <c r="BG118" s="178"/>
      <c r="BH118" s="178"/>
      <c r="BI118" s="178"/>
      <c r="BJ118" s="178"/>
      <c r="BK118" s="178"/>
      <c r="BL118" s="178"/>
      <c r="BM118" s="178"/>
      <c r="BN118" s="178"/>
      <c r="BO118" s="178"/>
      <c r="BP118" s="178"/>
      <c r="BQ118" s="178"/>
      <c r="BR118" s="178"/>
      <c r="BS118" s="178"/>
      <c r="BT118" s="178"/>
      <c r="BU118" s="178"/>
    </row>
    <row r="119" spans="2:73" ht="39.75" customHeight="1" x14ac:dyDescent="0.25">
      <c r="B119" s="178"/>
      <c r="C119" s="211">
        <f t="shared" si="0"/>
        <v>113</v>
      </c>
      <c r="D119" s="182" t="s">
        <v>3548</v>
      </c>
      <c r="E119" s="182" t="s">
        <v>3549</v>
      </c>
      <c r="F119" s="182" t="s">
        <v>3550</v>
      </c>
      <c r="G119" s="182" t="s">
        <v>1197</v>
      </c>
      <c r="H119" s="182" t="s">
        <v>3551</v>
      </c>
      <c r="I119" s="182" t="s">
        <v>3552</v>
      </c>
      <c r="J119" s="182" t="s">
        <v>3553</v>
      </c>
      <c r="K119" s="182" t="s">
        <v>3554</v>
      </c>
      <c r="L119" s="182" t="s">
        <v>3365</v>
      </c>
      <c r="M119" s="195" t="s">
        <v>1815</v>
      </c>
      <c r="N119" s="196" t="s">
        <v>3555</v>
      </c>
      <c r="O119" s="195" t="s">
        <v>3556</v>
      </c>
      <c r="P119" s="195" t="s">
        <v>2174</v>
      </c>
      <c r="Q119" s="195" t="s">
        <v>3557</v>
      </c>
      <c r="R119" s="182" t="s">
        <v>3558</v>
      </c>
      <c r="S119" s="182" t="s">
        <v>3559</v>
      </c>
      <c r="T119" s="182" t="s">
        <v>3395</v>
      </c>
      <c r="U119" s="182" t="s">
        <v>3373</v>
      </c>
      <c r="V119" s="210" t="s">
        <v>3396</v>
      </c>
      <c r="W119" s="210" t="s">
        <v>3560</v>
      </c>
      <c r="X119" s="209" t="s">
        <v>3561</v>
      </c>
      <c r="Y119" s="212" t="s">
        <v>2181</v>
      </c>
      <c r="Z119" s="212" t="s">
        <v>2182</v>
      </c>
      <c r="AA119" s="212" t="s">
        <v>1909</v>
      </c>
      <c r="AB119" s="212" t="s">
        <v>1800</v>
      </c>
      <c r="AC119" s="200" t="s">
        <v>2183</v>
      </c>
      <c r="AD119" s="200" t="s">
        <v>2183</v>
      </c>
      <c r="AE119" s="200" t="s">
        <v>2183</v>
      </c>
      <c r="AF119" s="200" t="s">
        <v>1699</v>
      </c>
      <c r="AG119" s="200" t="s">
        <v>1678</v>
      </c>
      <c r="AH119" s="200" t="s">
        <v>2143</v>
      </c>
      <c r="AI119" s="200" t="s">
        <v>1648</v>
      </c>
      <c r="AJ119" s="15" t="s">
        <v>3562</v>
      </c>
      <c r="AK119" s="201" t="s">
        <v>2185</v>
      </c>
      <c r="AL119" s="201" t="s">
        <v>2186</v>
      </c>
      <c r="AM119" s="201" t="s">
        <v>2187</v>
      </c>
      <c r="AN119" s="201" t="s">
        <v>1653</v>
      </c>
      <c r="AO119" s="201" t="s">
        <v>1654</v>
      </c>
      <c r="AP119" s="201" t="s">
        <v>1655</v>
      </c>
      <c r="AQ119" s="202" t="s">
        <v>3563</v>
      </c>
      <c r="AR119" s="203" t="s">
        <v>2189</v>
      </c>
      <c r="AS119" s="178"/>
      <c r="AT119" s="178"/>
      <c r="AU119" s="178"/>
      <c r="AV119" s="178"/>
      <c r="AW119" s="178"/>
      <c r="AX119" s="178"/>
      <c r="AY119" s="178"/>
      <c r="AZ119" s="178"/>
      <c r="BA119" s="178"/>
      <c r="BB119" s="178"/>
      <c r="BC119" s="178"/>
      <c r="BD119" s="178"/>
      <c r="BE119" s="178"/>
      <c r="BF119" s="178"/>
      <c r="BG119" s="178"/>
      <c r="BH119" s="178"/>
      <c r="BI119" s="178"/>
      <c r="BJ119" s="178"/>
      <c r="BK119" s="178"/>
      <c r="BL119" s="178"/>
      <c r="BM119" s="178"/>
      <c r="BN119" s="178"/>
      <c r="BO119" s="178"/>
      <c r="BP119" s="178"/>
      <c r="BQ119" s="178"/>
      <c r="BR119" s="178"/>
      <c r="BS119" s="178"/>
      <c r="BT119" s="178"/>
      <c r="BU119" s="178"/>
    </row>
    <row r="120" spans="2:73" ht="39.75" customHeight="1" x14ac:dyDescent="0.25">
      <c r="B120" s="178"/>
      <c r="C120" s="211">
        <f t="shared" si="0"/>
        <v>114</v>
      </c>
      <c r="D120" s="182" t="s">
        <v>2547</v>
      </c>
      <c r="E120" s="182" t="s">
        <v>949</v>
      </c>
      <c r="F120" s="182" t="s">
        <v>3564</v>
      </c>
      <c r="G120" s="182" t="s">
        <v>3565</v>
      </c>
      <c r="H120" s="182" t="s">
        <v>3566</v>
      </c>
      <c r="I120" s="182" t="s">
        <v>3458</v>
      </c>
      <c r="J120" s="182" t="s">
        <v>3567</v>
      </c>
      <c r="K120" s="182" t="s">
        <v>3568</v>
      </c>
      <c r="L120" s="182" t="s">
        <v>3424</v>
      </c>
      <c r="M120" s="195" t="s">
        <v>3569</v>
      </c>
      <c r="N120" s="182" t="s">
        <v>3570</v>
      </c>
      <c r="O120" s="195" t="s">
        <v>2546</v>
      </c>
      <c r="P120" s="195" t="s">
        <v>1629</v>
      </c>
      <c r="Q120" s="195" t="s">
        <v>3571</v>
      </c>
      <c r="R120" s="182" t="s">
        <v>1036</v>
      </c>
      <c r="S120" s="182" t="s">
        <v>2550</v>
      </c>
      <c r="T120" s="182" t="s">
        <v>2523</v>
      </c>
      <c r="U120" s="182" t="s">
        <v>3413</v>
      </c>
      <c r="V120" s="210" t="s">
        <v>3572</v>
      </c>
      <c r="W120" s="210" t="s">
        <v>3573</v>
      </c>
      <c r="X120" s="209" t="s">
        <v>3574</v>
      </c>
      <c r="Y120" s="212" t="s">
        <v>2338</v>
      </c>
      <c r="Z120" s="212" t="s">
        <v>2339</v>
      </c>
      <c r="AA120" s="212" t="s">
        <v>1909</v>
      </c>
      <c r="AB120" s="212" t="s">
        <v>1800</v>
      </c>
      <c r="AC120" s="200" t="s">
        <v>1746</v>
      </c>
      <c r="AD120" s="200" t="s">
        <v>1718</v>
      </c>
      <c r="AE120" s="200" t="s">
        <v>1644</v>
      </c>
      <c r="AF120" s="200" t="s">
        <v>1699</v>
      </c>
      <c r="AG120" s="200" t="s">
        <v>1777</v>
      </c>
      <c r="AH120" s="200" t="s">
        <v>1863</v>
      </c>
      <c r="AI120" s="200" t="s">
        <v>1648</v>
      </c>
      <c r="AJ120" s="15" t="s">
        <v>3575</v>
      </c>
      <c r="AK120" s="204" t="s">
        <v>1860</v>
      </c>
      <c r="AL120" s="204" t="s">
        <v>1861</v>
      </c>
      <c r="AM120" s="204" t="s">
        <v>1652</v>
      </c>
      <c r="AN120" s="204" t="s">
        <v>1863</v>
      </c>
      <c r="AO120" s="204" t="s">
        <v>1654</v>
      </c>
      <c r="AP120" s="204" t="s">
        <v>1754</v>
      </c>
      <c r="AQ120" s="205" t="s">
        <v>1887</v>
      </c>
      <c r="AR120" s="206" t="s">
        <v>1865</v>
      </c>
      <c r="AS120" s="178"/>
      <c r="AT120" s="178"/>
      <c r="AU120" s="178"/>
      <c r="AV120" s="178"/>
      <c r="AW120" s="178"/>
      <c r="AX120" s="178"/>
      <c r="AY120" s="178"/>
      <c r="AZ120" s="178"/>
      <c r="BA120" s="178"/>
      <c r="BB120" s="178"/>
      <c r="BC120" s="178"/>
      <c r="BD120" s="178"/>
      <c r="BE120" s="178"/>
      <c r="BF120" s="178"/>
      <c r="BG120" s="178"/>
      <c r="BH120" s="178"/>
      <c r="BI120" s="178"/>
      <c r="BJ120" s="178"/>
      <c r="BK120" s="178"/>
      <c r="BL120" s="178"/>
      <c r="BM120" s="178"/>
      <c r="BN120" s="178"/>
      <c r="BO120" s="178"/>
      <c r="BP120" s="178"/>
      <c r="BQ120" s="178"/>
      <c r="BR120" s="178"/>
      <c r="BS120" s="178"/>
      <c r="BT120" s="178"/>
      <c r="BU120" s="178"/>
    </row>
    <row r="121" spans="2:73" ht="39.75" customHeight="1" x14ac:dyDescent="0.25">
      <c r="B121" s="178"/>
      <c r="C121" s="211">
        <f t="shared" si="0"/>
        <v>115</v>
      </c>
      <c r="D121" s="182" t="s">
        <v>2528</v>
      </c>
      <c r="E121" s="182" t="s">
        <v>3576</v>
      </c>
      <c r="F121" s="182" t="s">
        <v>3577</v>
      </c>
      <c r="G121" s="182" t="s">
        <v>3578</v>
      </c>
      <c r="H121" s="182" t="s">
        <v>3579</v>
      </c>
      <c r="I121" s="182" t="s">
        <v>3580</v>
      </c>
      <c r="J121" s="182" t="s">
        <v>3581</v>
      </c>
      <c r="K121" s="182" t="s">
        <v>3582</v>
      </c>
      <c r="L121" s="182" t="s">
        <v>3579</v>
      </c>
      <c r="M121" s="195" t="s">
        <v>3583</v>
      </c>
      <c r="N121" s="182" t="s">
        <v>3584</v>
      </c>
      <c r="O121" s="195" t="s">
        <v>3578</v>
      </c>
      <c r="P121" s="195" t="s">
        <v>1948</v>
      </c>
      <c r="Q121" s="195" t="s">
        <v>2536</v>
      </c>
      <c r="R121" s="182" t="s">
        <v>3585</v>
      </c>
      <c r="S121" s="182" t="s">
        <v>3586</v>
      </c>
      <c r="T121" s="182" t="s">
        <v>3587</v>
      </c>
      <c r="U121" s="182" t="s">
        <v>3428</v>
      </c>
      <c r="V121" s="210" t="s">
        <v>3588</v>
      </c>
      <c r="W121" s="210" t="s">
        <v>3589</v>
      </c>
      <c r="X121" s="209" t="s">
        <v>3590</v>
      </c>
      <c r="Y121" s="212" t="s">
        <v>2338</v>
      </c>
      <c r="Z121" s="212" t="s">
        <v>2339</v>
      </c>
      <c r="AA121" s="212" t="s">
        <v>2340</v>
      </c>
      <c r="AB121" s="212" t="s">
        <v>2341</v>
      </c>
      <c r="AC121" s="200" t="s">
        <v>1746</v>
      </c>
      <c r="AD121" s="200" t="s">
        <v>1718</v>
      </c>
      <c r="AE121" s="200" t="s">
        <v>1644</v>
      </c>
      <c r="AF121" s="200" t="s">
        <v>1885</v>
      </c>
      <c r="AG121" s="200" t="s">
        <v>1777</v>
      </c>
      <c r="AH121" s="200" t="s">
        <v>1677</v>
      </c>
      <c r="AI121" s="200" t="s">
        <v>1648</v>
      </c>
      <c r="AJ121" s="15" t="s">
        <v>3591</v>
      </c>
      <c r="AK121" s="201" t="s">
        <v>1913</v>
      </c>
      <c r="AL121" s="201" t="s">
        <v>1914</v>
      </c>
      <c r="AM121" s="201" t="s">
        <v>1652</v>
      </c>
      <c r="AN121" s="201" t="s">
        <v>1863</v>
      </c>
      <c r="AO121" s="201" t="s">
        <v>1654</v>
      </c>
      <c r="AP121" s="201" t="s">
        <v>1917</v>
      </c>
      <c r="AQ121" s="202" t="s">
        <v>2376</v>
      </c>
      <c r="AR121" s="203" t="s">
        <v>1919</v>
      </c>
      <c r="AS121" s="178"/>
      <c r="AT121" s="178"/>
      <c r="AU121" s="178"/>
      <c r="AV121" s="178"/>
      <c r="AW121" s="178"/>
      <c r="AX121" s="178"/>
      <c r="AY121" s="178"/>
      <c r="AZ121" s="178"/>
      <c r="BA121" s="178"/>
      <c r="BB121" s="178"/>
      <c r="BC121" s="178"/>
      <c r="BD121" s="178"/>
      <c r="BE121" s="178"/>
      <c r="BF121" s="178"/>
      <c r="BG121" s="178"/>
      <c r="BH121" s="178"/>
      <c r="BI121" s="178"/>
      <c r="BJ121" s="178"/>
      <c r="BK121" s="178"/>
      <c r="BL121" s="178"/>
      <c r="BM121" s="178"/>
      <c r="BN121" s="178"/>
      <c r="BO121" s="178"/>
      <c r="BP121" s="178"/>
      <c r="BQ121" s="178"/>
      <c r="BR121" s="178"/>
      <c r="BS121" s="178"/>
      <c r="BT121" s="178"/>
      <c r="BU121" s="178"/>
    </row>
    <row r="122" spans="2:73" ht="54.75" customHeight="1" x14ac:dyDescent="0.25">
      <c r="B122" s="178"/>
      <c r="C122" s="211">
        <f t="shared" si="0"/>
        <v>116</v>
      </c>
      <c r="D122" s="182" t="s">
        <v>3592</v>
      </c>
      <c r="E122" s="182" t="s">
        <v>3593</v>
      </c>
      <c r="F122" s="182" t="s">
        <v>3594</v>
      </c>
      <c r="G122" s="182" t="s">
        <v>3595</v>
      </c>
      <c r="H122" s="182" t="s">
        <v>3596</v>
      </c>
      <c r="I122" s="182" t="s">
        <v>3597</v>
      </c>
      <c r="J122" s="182" t="s">
        <v>3598</v>
      </c>
      <c r="K122" s="182" t="s">
        <v>3599</v>
      </c>
      <c r="L122" s="182" t="s">
        <v>1874</v>
      </c>
      <c r="M122" s="182" t="s">
        <v>3600</v>
      </c>
      <c r="N122" s="182" t="s">
        <v>3601</v>
      </c>
      <c r="O122" s="182" t="s">
        <v>3602</v>
      </c>
      <c r="P122" s="182" t="s">
        <v>2458</v>
      </c>
      <c r="Q122" s="182" t="s">
        <v>3603</v>
      </c>
      <c r="R122" s="182" t="s">
        <v>3604</v>
      </c>
      <c r="S122" s="182" t="s">
        <v>2784</v>
      </c>
      <c r="T122" s="182" t="s">
        <v>3605</v>
      </c>
      <c r="U122" s="182" t="s">
        <v>3428</v>
      </c>
      <c r="V122" s="210" t="s">
        <v>3606</v>
      </c>
      <c r="W122" s="210" t="s">
        <v>3607</v>
      </c>
      <c r="X122" s="209" t="s">
        <v>3608</v>
      </c>
      <c r="Y122" s="212" t="s">
        <v>3542</v>
      </c>
      <c r="Z122" s="212" t="s">
        <v>2137</v>
      </c>
      <c r="AA122" s="212" t="s">
        <v>3544</v>
      </c>
      <c r="AB122" s="212" t="s">
        <v>3609</v>
      </c>
      <c r="AC122" s="200" t="s">
        <v>1746</v>
      </c>
      <c r="AD122" s="200" t="s">
        <v>1718</v>
      </c>
      <c r="AE122" s="200" t="s">
        <v>1644</v>
      </c>
      <c r="AF122" s="200" t="s">
        <v>1677</v>
      </c>
      <c r="AG122" s="200" t="s">
        <v>1981</v>
      </c>
      <c r="AH122" s="200" t="s">
        <v>1863</v>
      </c>
      <c r="AI122" s="200" t="s">
        <v>1648</v>
      </c>
      <c r="AJ122" s="15" t="s">
        <v>3610</v>
      </c>
      <c r="AK122" s="204" t="s">
        <v>1913</v>
      </c>
      <c r="AL122" s="204" t="s">
        <v>1914</v>
      </c>
      <c r="AM122" s="204" t="s">
        <v>1983</v>
      </c>
      <c r="AN122" s="204" t="s">
        <v>1863</v>
      </c>
      <c r="AO122" s="204" t="s">
        <v>2230</v>
      </c>
      <c r="AP122" s="204" t="s">
        <v>1917</v>
      </c>
      <c r="AQ122" s="205" t="s">
        <v>3611</v>
      </c>
      <c r="AR122" s="206" t="s">
        <v>1919</v>
      </c>
      <c r="AS122" s="178"/>
      <c r="AT122" s="178"/>
      <c r="AU122" s="178"/>
      <c r="AV122" s="178"/>
      <c r="AW122" s="178"/>
      <c r="AX122" s="178"/>
      <c r="AY122" s="178"/>
      <c r="AZ122" s="178"/>
      <c r="BA122" s="178"/>
      <c r="BB122" s="178"/>
      <c r="BC122" s="178"/>
      <c r="BD122" s="178"/>
      <c r="BE122" s="178"/>
      <c r="BF122" s="178"/>
      <c r="BG122" s="178"/>
      <c r="BH122" s="178"/>
      <c r="BI122" s="178"/>
      <c r="BJ122" s="178"/>
      <c r="BK122" s="178"/>
      <c r="BL122" s="178"/>
      <c r="BM122" s="178"/>
      <c r="BN122" s="178"/>
      <c r="BO122" s="178"/>
      <c r="BP122" s="178"/>
      <c r="BQ122" s="178"/>
      <c r="BR122" s="178"/>
      <c r="BS122" s="178"/>
      <c r="BT122" s="178"/>
      <c r="BU122" s="178"/>
    </row>
    <row r="123" spans="2:73" ht="15" customHeight="1" x14ac:dyDescent="0.25">
      <c r="B123" s="178"/>
      <c r="C123" s="179"/>
      <c r="D123" s="178"/>
      <c r="E123" s="178"/>
      <c r="F123" s="178"/>
      <c r="G123" s="178"/>
      <c r="H123" s="178"/>
      <c r="I123" s="178"/>
      <c r="J123" s="178"/>
      <c r="K123" s="178"/>
      <c r="L123" s="178"/>
      <c r="M123" s="178"/>
      <c r="N123" s="178"/>
      <c r="O123" s="178"/>
      <c r="P123" s="178"/>
      <c r="Q123" s="178"/>
      <c r="R123" s="213"/>
      <c r="S123" s="178"/>
      <c r="T123" s="178"/>
      <c r="U123" s="178"/>
      <c r="V123" s="178"/>
      <c r="W123" s="178"/>
      <c r="X123" s="178"/>
      <c r="Y123" s="178"/>
      <c r="Z123" s="178"/>
      <c r="AA123" s="178"/>
      <c r="AB123" s="178"/>
      <c r="AC123" s="178"/>
      <c r="AD123" s="178"/>
      <c r="AE123" s="178"/>
      <c r="AF123" s="178"/>
      <c r="AG123" s="178"/>
      <c r="AH123" s="178"/>
      <c r="AI123" s="178"/>
      <c r="AJ123" s="178"/>
      <c r="AK123" s="178"/>
      <c r="AL123" s="178"/>
      <c r="AM123" s="178"/>
      <c r="AN123" s="178"/>
      <c r="AO123" s="178"/>
      <c r="AP123" s="178"/>
      <c r="AQ123" s="178"/>
      <c r="AR123" s="178"/>
      <c r="AS123" s="178"/>
      <c r="AT123" s="178"/>
      <c r="AU123" s="178"/>
      <c r="AV123" s="178"/>
      <c r="AW123" s="178"/>
      <c r="AX123" s="178"/>
      <c r="AY123" s="178"/>
      <c r="AZ123" s="178"/>
      <c r="BA123" s="178"/>
      <c r="BB123" s="178"/>
      <c r="BC123" s="178"/>
      <c r="BD123" s="178"/>
      <c r="BE123" s="178"/>
      <c r="BF123" s="178"/>
      <c r="BG123" s="178"/>
      <c r="BH123" s="178"/>
      <c r="BI123" s="178"/>
      <c r="BJ123" s="178"/>
      <c r="BK123" s="178"/>
      <c r="BL123" s="178"/>
      <c r="BM123" s="178"/>
      <c r="BN123" s="178"/>
      <c r="BO123" s="178"/>
      <c r="BP123" s="178"/>
      <c r="BQ123" s="178"/>
      <c r="BR123" s="178"/>
      <c r="BS123" s="178"/>
      <c r="BT123" s="178"/>
      <c r="BU123" s="178"/>
    </row>
    <row r="124" spans="2:73" ht="15" customHeight="1" x14ac:dyDescent="0.25">
      <c r="B124" s="178"/>
      <c r="C124" s="179"/>
      <c r="D124" s="178"/>
      <c r="E124" s="178"/>
      <c r="F124" s="178"/>
      <c r="G124" s="178"/>
      <c r="H124" s="178"/>
      <c r="I124" s="178"/>
      <c r="J124" s="178"/>
      <c r="K124" s="178"/>
      <c r="L124" s="178"/>
      <c r="M124" s="178"/>
      <c r="N124" s="178"/>
      <c r="O124" s="178"/>
      <c r="P124" s="178"/>
      <c r="Q124" s="178"/>
      <c r="R124" s="178"/>
      <c r="S124" s="178"/>
      <c r="T124" s="178"/>
      <c r="U124" s="178"/>
      <c r="V124" s="178"/>
      <c r="W124" s="178"/>
      <c r="X124" s="178"/>
      <c r="Y124" s="178"/>
      <c r="Z124" s="178"/>
      <c r="AA124" s="178"/>
      <c r="AB124" s="178"/>
      <c r="AC124" s="178"/>
      <c r="AD124" s="178"/>
      <c r="AE124" s="178"/>
      <c r="AF124" s="178"/>
      <c r="AG124" s="178"/>
      <c r="AH124" s="178"/>
      <c r="AI124" s="178"/>
      <c r="AJ124" s="178"/>
      <c r="AK124" s="178"/>
      <c r="AL124" s="178"/>
      <c r="AM124" s="178"/>
      <c r="AN124" s="178"/>
      <c r="AO124" s="178"/>
      <c r="AP124" s="178"/>
      <c r="AQ124" s="178"/>
      <c r="AR124" s="178"/>
      <c r="AS124" s="178"/>
      <c r="AT124" s="178"/>
      <c r="AU124" s="178"/>
      <c r="AV124" s="178"/>
      <c r="AW124" s="178"/>
      <c r="AX124" s="178"/>
      <c r="AY124" s="178"/>
      <c r="AZ124" s="178"/>
      <c r="BA124" s="178"/>
      <c r="BB124" s="178"/>
      <c r="BC124" s="178"/>
      <c r="BD124" s="178"/>
      <c r="BE124" s="178"/>
      <c r="BF124" s="178"/>
      <c r="BG124" s="178"/>
      <c r="BH124" s="178"/>
      <c r="BI124" s="178"/>
      <c r="BJ124" s="178"/>
      <c r="BK124" s="178"/>
      <c r="BL124" s="178"/>
      <c r="BM124" s="178"/>
      <c r="BN124" s="178"/>
      <c r="BO124" s="178"/>
      <c r="BP124" s="178"/>
      <c r="BQ124" s="178"/>
      <c r="BR124" s="178"/>
      <c r="BS124" s="178"/>
      <c r="BT124" s="178"/>
      <c r="BU124" s="178"/>
    </row>
    <row r="125" spans="2:73" ht="15" customHeight="1" x14ac:dyDescent="0.25">
      <c r="B125" s="178"/>
      <c r="C125" s="377" t="s">
        <v>3612</v>
      </c>
      <c r="D125" s="377"/>
      <c r="E125" s="377"/>
      <c r="F125" s="377"/>
      <c r="G125" s="377"/>
      <c r="H125" s="377"/>
      <c r="I125" s="377"/>
      <c r="J125" s="377"/>
      <c r="K125" s="377"/>
      <c r="L125" s="377"/>
      <c r="M125" s="377"/>
      <c r="N125" s="377"/>
      <c r="O125" s="377"/>
      <c r="P125" s="377"/>
      <c r="Q125" s="377"/>
      <c r="R125" s="377"/>
      <c r="S125" s="377"/>
      <c r="T125" s="377"/>
      <c r="U125" s="377"/>
      <c r="V125" s="377"/>
      <c r="W125" s="377"/>
      <c r="X125" s="377"/>
      <c r="Y125" s="377"/>
      <c r="Z125" s="377"/>
      <c r="AA125" s="377"/>
      <c r="AB125" s="377"/>
      <c r="AC125" s="377"/>
      <c r="AD125" s="377"/>
      <c r="AE125" s="377"/>
      <c r="AF125" s="377"/>
      <c r="AG125" s="377"/>
      <c r="AH125" s="377"/>
      <c r="AI125" s="377"/>
      <c r="AJ125" s="377"/>
      <c r="AK125" s="377"/>
      <c r="AL125" s="377"/>
      <c r="AM125" s="377"/>
      <c r="AN125" s="377"/>
      <c r="AO125" s="377"/>
      <c r="AP125" s="377"/>
      <c r="AQ125" s="377"/>
      <c r="AR125" s="377"/>
      <c r="AS125" s="178"/>
      <c r="AT125" s="178"/>
      <c r="AU125" s="178"/>
      <c r="AV125" s="178"/>
      <c r="AW125" s="178"/>
      <c r="AX125" s="178"/>
      <c r="AY125" s="178"/>
      <c r="AZ125" s="178"/>
      <c r="BA125" s="178"/>
      <c r="BB125" s="178"/>
      <c r="BC125" s="178"/>
      <c r="BD125" s="178"/>
      <c r="BE125" s="178"/>
      <c r="BF125" s="178"/>
      <c r="BG125" s="178"/>
      <c r="BH125" s="178"/>
      <c r="BI125" s="178"/>
      <c r="BJ125" s="178"/>
      <c r="BK125" s="178"/>
      <c r="BL125" s="178"/>
      <c r="BM125" s="178"/>
      <c r="BN125" s="178"/>
      <c r="BO125" s="178"/>
      <c r="BP125" s="178"/>
      <c r="BQ125" s="178"/>
      <c r="BR125" s="178"/>
      <c r="BS125" s="178"/>
      <c r="BT125" s="178"/>
      <c r="BU125" s="178"/>
    </row>
    <row r="126" spans="2:73" ht="45.75" customHeight="1" x14ac:dyDescent="0.25">
      <c r="B126" s="178"/>
      <c r="C126" s="360" t="s">
        <v>3613</v>
      </c>
      <c r="D126" s="360"/>
      <c r="E126" s="360"/>
      <c r="F126" s="360"/>
      <c r="G126" s="361" t="s">
        <v>3614</v>
      </c>
      <c r="H126" s="361"/>
      <c r="I126" s="361"/>
      <c r="J126" s="361"/>
      <c r="K126" s="361"/>
      <c r="L126" s="361"/>
      <c r="M126" s="361"/>
      <c r="N126" s="361"/>
      <c r="O126" s="361"/>
      <c r="P126" s="361"/>
      <c r="Q126" s="361"/>
      <c r="R126" s="361"/>
      <c r="S126" s="361"/>
      <c r="T126" s="361"/>
      <c r="U126" s="361"/>
      <c r="V126" s="361"/>
      <c r="W126" s="361"/>
      <c r="X126" s="361"/>
      <c r="Y126" s="361"/>
      <c r="Z126" s="361"/>
      <c r="AA126" s="361"/>
      <c r="AB126" s="361"/>
      <c r="AC126" s="361"/>
      <c r="AD126" s="361"/>
      <c r="AE126" s="361"/>
      <c r="AF126" s="361"/>
      <c r="AG126" s="361"/>
      <c r="AH126" s="361"/>
      <c r="AI126" s="361"/>
      <c r="AJ126" s="361"/>
      <c r="AK126" s="361"/>
      <c r="AL126" s="361"/>
      <c r="AM126" s="361"/>
      <c r="AN126" s="361"/>
      <c r="AO126" s="361"/>
      <c r="AP126" s="361"/>
      <c r="AQ126" s="361"/>
      <c r="AR126" s="361"/>
      <c r="AS126" s="178"/>
      <c r="AT126" s="178"/>
      <c r="AU126" s="178"/>
      <c r="AV126" s="178"/>
      <c r="AW126" s="178"/>
      <c r="AX126" s="178"/>
      <c r="AY126" s="178"/>
      <c r="AZ126" s="178"/>
      <c r="BA126" s="178"/>
      <c r="BB126" s="178"/>
      <c r="BC126" s="178"/>
      <c r="BD126" s="178"/>
      <c r="BE126" s="178"/>
      <c r="BF126" s="178"/>
      <c r="BG126" s="178"/>
      <c r="BH126" s="178"/>
      <c r="BI126" s="178"/>
      <c r="BJ126" s="178"/>
      <c r="BK126" s="178"/>
      <c r="BL126" s="178"/>
      <c r="BM126" s="178"/>
      <c r="BN126" s="178"/>
      <c r="BO126" s="178"/>
      <c r="BP126" s="178"/>
      <c r="BQ126" s="178"/>
      <c r="BR126" s="178"/>
      <c r="BS126" s="178"/>
      <c r="BT126" s="178"/>
      <c r="BU126" s="178"/>
    </row>
    <row r="127" spans="2:73" ht="45.75" customHeight="1" x14ac:dyDescent="0.25">
      <c r="B127" s="178"/>
      <c r="C127" s="360" t="s">
        <v>3615</v>
      </c>
      <c r="D127" s="360"/>
      <c r="E127" s="360"/>
      <c r="F127" s="360"/>
      <c r="G127" s="361" t="s">
        <v>3616</v>
      </c>
      <c r="H127" s="361"/>
      <c r="I127" s="361"/>
      <c r="J127" s="361"/>
      <c r="K127" s="361"/>
      <c r="L127" s="361"/>
      <c r="M127" s="361"/>
      <c r="N127" s="361"/>
      <c r="O127" s="361"/>
      <c r="P127" s="361"/>
      <c r="Q127" s="361"/>
      <c r="R127" s="361"/>
      <c r="S127" s="361"/>
      <c r="T127" s="361"/>
      <c r="U127" s="361"/>
      <c r="V127" s="361"/>
      <c r="W127" s="361"/>
      <c r="X127" s="361"/>
      <c r="Y127" s="361"/>
      <c r="Z127" s="361"/>
      <c r="AA127" s="361"/>
      <c r="AB127" s="361"/>
      <c r="AC127" s="361"/>
      <c r="AD127" s="361"/>
      <c r="AE127" s="361"/>
      <c r="AF127" s="361"/>
      <c r="AG127" s="361"/>
      <c r="AH127" s="361"/>
      <c r="AI127" s="361"/>
      <c r="AJ127" s="361"/>
      <c r="AK127" s="361"/>
      <c r="AL127" s="361"/>
      <c r="AM127" s="361"/>
      <c r="AN127" s="361"/>
      <c r="AO127" s="361"/>
      <c r="AP127" s="361"/>
      <c r="AQ127" s="361"/>
      <c r="AR127" s="361"/>
      <c r="AS127" s="178"/>
      <c r="AT127" s="178"/>
      <c r="AU127" s="178"/>
      <c r="AV127" s="178"/>
      <c r="AW127" s="178"/>
      <c r="AX127" s="178"/>
      <c r="AY127" s="178"/>
      <c r="AZ127" s="178"/>
      <c r="BA127" s="178"/>
      <c r="BB127" s="178"/>
      <c r="BC127" s="178"/>
      <c r="BD127" s="178"/>
      <c r="BE127" s="178"/>
      <c r="BF127" s="178"/>
      <c r="BG127" s="178"/>
      <c r="BH127" s="178"/>
      <c r="BI127" s="178"/>
      <c r="BJ127" s="178"/>
      <c r="BK127" s="178"/>
      <c r="BL127" s="178"/>
      <c r="BM127" s="178"/>
      <c r="BN127" s="178"/>
      <c r="BO127" s="178"/>
      <c r="BP127" s="178"/>
      <c r="BQ127" s="178"/>
      <c r="BR127" s="178"/>
      <c r="BS127" s="178"/>
      <c r="BT127" s="178"/>
      <c r="BU127" s="178"/>
    </row>
    <row r="128" spans="2:73" ht="45.75" customHeight="1" x14ac:dyDescent="0.25">
      <c r="B128" s="178"/>
      <c r="C128" s="360" t="s">
        <v>3617</v>
      </c>
      <c r="D128" s="360"/>
      <c r="E128" s="360"/>
      <c r="F128" s="360"/>
      <c r="G128" s="361" t="s">
        <v>3618</v>
      </c>
      <c r="H128" s="361"/>
      <c r="I128" s="361"/>
      <c r="J128" s="361"/>
      <c r="K128" s="361"/>
      <c r="L128" s="361"/>
      <c r="M128" s="361"/>
      <c r="N128" s="361"/>
      <c r="O128" s="361"/>
      <c r="P128" s="361"/>
      <c r="Q128" s="361"/>
      <c r="R128" s="361"/>
      <c r="S128" s="361"/>
      <c r="T128" s="361"/>
      <c r="U128" s="361"/>
      <c r="V128" s="361"/>
      <c r="W128" s="361"/>
      <c r="X128" s="361"/>
      <c r="Y128" s="361"/>
      <c r="Z128" s="361"/>
      <c r="AA128" s="361"/>
      <c r="AB128" s="361"/>
      <c r="AC128" s="361"/>
      <c r="AD128" s="361"/>
      <c r="AE128" s="361"/>
      <c r="AF128" s="361"/>
      <c r="AG128" s="361"/>
      <c r="AH128" s="361"/>
      <c r="AI128" s="361"/>
      <c r="AJ128" s="361"/>
      <c r="AK128" s="361"/>
      <c r="AL128" s="361"/>
      <c r="AM128" s="361"/>
      <c r="AN128" s="361"/>
      <c r="AO128" s="361"/>
      <c r="AP128" s="361"/>
      <c r="AQ128" s="361"/>
      <c r="AR128" s="361"/>
      <c r="AS128" s="178"/>
      <c r="AT128" s="178"/>
      <c r="AU128" s="178"/>
      <c r="AV128" s="178"/>
      <c r="AW128" s="178"/>
      <c r="AX128" s="178"/>
      <c r="AY128" s="178"/>
      <c r="AZ128" s="178"/>
      <c r="BA128" s="178"/>
      <c r="BB128" s="178"/>
      <c r="BC128" s="178"/>
      <c r="BD128" s="178"/>
      <c r="BE128" s="178"/>
      <c r="BF128" s="178"/>
      <c r="BG128" s="178"/>
      <c r="BH128" s="178"/>
      <c r="BI128" s="178"/>
      <c r="BJ128" s="178"/>
      <c r="BK128" s="178"/>
      <c r="BL128" s="178"/>
      <c r="BM128" s="178"/>
      <c r="BN128" s="178"/>
      <c r="BO128" s="178"/>
      <c r="BP128" s="178"/>
      <c r="BQ128" s="178"/>
      <c r="BR128" s="178"/>
      <c r="BS128" s="178"/>
      <c r="BT128" s="178"/>
      <c r="BU128" s="178"/>
    </row>
    <row r="129" spans="2:73" ht="45.75" customHeight="1" x14ac:dyDescent="0.25">
      <c r="B129" s="178"/>
      <c r="C129" s="360" t="s">
        <v>3619</v>
      </c>
      <c r="D129" s="360"/>
      <c r="E129" s="360"/>
      <c r="F129" s="360"/>
      <c r="G129" s="361" t="s">
        <v>3620</v>
      </c>
      <c r="H129" s="361"/>
      <c r="I129" s="361"/>
      <c r="J129" s="361"/>
      <c r="K129" s="361"/>
      <c r="L129" s="361"/>
      <c r="M129" s="361"/>
      <c r="N129" s="361"/>
      <c r="O129" s="361"/>
      <c r="P129" s="361"/>
      <c r="Q129" s="361"/>
      <c r="R129" s="361"/>
      <c r="S129" s="361"/>
      <c r="T129" s="361"/>
      <c r="U129" s="361"/>
      <c r="V129" s="361"/>
      <c r="W129" s="361"/>
      <c r="X129" s="361"/>
      <c r="Y129" s="361"/>
      <c r="Z129" s="361"/>
      <c r="AA129" s="361"/>
      <c r="AB129" s="361"/>
      <c r="AC129" s="361"/>
      <c r="AD129" s="361"/>
      <c r="AE129" s="361"/>
      <c r="AF129" s="361"/>
      <c r="AG129" s="361"/>
      <c r="AH129" s="361"/>
      <c r="AI129" s="361"/>
      <c r="AJ129" s="361"/>
      <c r="AK129" s="361"/>
      <c r="AL129" s="361"/>
      <c r="AM129" s="361"/>
      <c r="AN129" s="361"/>
      <c r="AO129" s="361"/>
      <c r="AP129" s="361"/>
      <c r="AQ129" s="361"/>
      <c r="AR129" s="361"/>
      <c r="AS129" s="178"/>
      <c r="AT129" s="178"/>
      <c r="AU129" s="178"/>
      <c r="AV129" s="178"/>
      <c r="AW129" s="178"/>
      <c r="AX129" s="178"/>
      <c r="AY129" s="178"/>
      <c r="AZ129" s="178"/>
      <c r="BA129" s="178"/>
      <c r="BB129" s="178"/>
      <c r="BC129" s="178"/>
      <c r="BD129" s="178"/>
      <c r="BE129" s="178"/>
      <c r="BF129" s="178"/>
      <c r="BG129" s="178"/>
      <c r="BH129" s="178"/>
      <c r="BI129" s="178"/>
      <c r="BJ129" s="178"/>
      <c r="BK129" s="178"/>
      <c r="BL129" s="178"/>
      <c r="BM129" s="178"/>
      <c r="BN129" s="178"/>
      <c r="BO129" s="178"/>
      <c r="BP129" s="178"/>
      <c r="BQ129" s="178"/>
      <c r="BR129" s="178"/>
      <c r="BS129" s="178"/>
      <c r="BT129" s="178"/>
      <c r="BU129" s="178"/>
    </row>
    <row r="130" spans="2:73" ht="45.75" customHeight="1" x14ac:dyDescent="0.25">
      <c r="B130" s="178"/>
      <c r="C130" s="360" t="s">
        <v>3621</v>
      </c>
      <c r="D130" s="360"/>
      <c r="E130" s="360"/>
      <c r="F130" s="360"/>
      <c r="G130" s="361" t="s">
        <v>3622</v>
      </c>
      <c r="H130" s="361"/>
      <c r="I130" s="361"/>
      <c r="J130" s="361"/>
      <c r="K130" s="361"/>
      <c r="L130" s="361"/>
      <c r="M130" s="361"/>
      <c r="N130" s="361"/>
      <c r="O130" s="361"/>
      <c r="P130" s="361"/>
      <c r="Q130" s="361"/>
      <c r="R130" s="361"/>
      <c r="S130" s="361"/>
      <c r="T130" s="361"/>
      <c r="U130" s="361"/>
      <c r="V130" s="361"/>
      <c r="W130" s="361"/>
      <c r="X130" s="361"/>
      <c r="Y130" s="361"/>
      <c r="Z130" s="361"/>
      <c r="AA130" s="361"/>
      <c r="AB130" s="361"/>
      <c r="AC130" s="361"/>
      <c r="AD130" s="361"/>
      <c r="AE130" s="361"/>
      <c r="AF130" s="361"/>
      <c r="AG130" s="361"/>
      <c r="AH130" s="361"/>
      <c r="AI130" s="361"/>
      <c r="AJ130" s="361"/>
      <c r="AK130" s="361"/>
      <c r="AL130" s="361"/>
      <c r="AM130" s="361"/>
      <c r="AN130" s="361"/>
      <c r="AO130" s="361"/>
      <c r="AP130" s="361"/>
      <c r="AQ130" s="361"/>
      <c r="AR130" s="361"/>
      <c r="AS130" s="178"/>
      <c r="AT130" s="178"/>
      <c r="AU130" s="178"/>
      <c r="AV130" s="178"/>
      <c r="AW130" s="178"/>
      <c r="AX130" s="178"/>
      <c r="AY130" s="178"/>
      <c r="AZ130" s="178"/>
      <c r="BA130" s="178"/>
      <c r="BB130" s="178"/>
      <c r="BC130" s="178"/>
      <c r="BD130" s="178"/>
      <c r="BE130" s="178"/>
      <c r="BF130" s="178"/>
      <c r="BG130" s="178"/>
      <c r="BH130" s="178"/>
      <c r="BI130" s="178"/>
      <c r="BJ130" s="178"/>
      <c r="BK130" s="178"/>
      <c r="BL130" s="178"/>
      <c r="BM130" s="178"/>
      <c r="BN130" s="178"/>
      <c r="BO130" s="178"/>
      <c r="BP130" s="178"/>
      <c r="BQ130" s="178"/>
      <c r="BR130" s="178"/>
      <c r="BS130" s="178"/>
      <c r="BT130" s="178"/>
      <c r="BU130" s="178"/>
    </row>
    <row r="131" spans="2:73" ht="45.75" customHeight="1" x14ac:dyDescent="0.25">
      <c r="B131" s="178"/>
      <c r="C131" s="360" t="s">
        <v>3623</v>
      </c>
      <c r="D131" s="360"/>
      <c r="E131" s="360"/>
      <c r="F131" s="360"/>
      <c r="G131" s="361" t="s">
        <v>3624</v>
      </c>
      <c r="H131" s="361"/>
      <c r="I131" s="361"/>
      <c r="J131" s="361"/>
      <c r="K131" s="361"/>
      <c r="L131" s="361"/>
      <c r="M131" s="361"/>
      <c r="N131" s="361"/>
      <c r="O131" s="361"/>
      <c r="P131" s="361"/>
      <c r="Q131" s="361"/>
      <c r="R131" s="361"/>
      <c r="S131" s="361"/>
      <c r="T131" s="361"/>
      <c r="U131" s="361"/>
      <c r="V131" s="361"/>
      <c r="W131" s="361"/>
      <c r="X131" s="361"/>
      <c r="Y131" s="361"/>
      <c r="Z131" s="361"/>
      <c r="AA131" s="361"/>
      <c r="AB131" s="361"/>
      <c r="AC131" s="361"/>
      <c r="AD131" s="361"/>
      <c r="AE131" s="361"/>
      <c r="AF131" s="361"/>
      <c r="AG131" s="361"/>
      <c r="AH131" s="361"/>
      <c r="AI131" s="361"/>
      <c r="AJ131" s="361"/>
      <c r="AK131" s="361"/>
      <c r="AL131" s="361"/>
      <c r="AM131" s="361"/>
      <c r="AN131" s="361"/>
      <c r="AO131" s="361"/>
      <c r="AP131" s="361"/>
      <c r="AQ131" s="361"/>
      <c r="AR131" s="361"/>
      <c r="AS131" s="178"/>
      <c r="AT131" s="178"/>
      <c r="AU131" s="178"/>
      <c r="AV131" s="178"/>
      <c r="AW131" s="178"/>
      <c r="AX131" s="178"/>
      <c r="AY131" s="178"/>
      <c r="AZ131" s="178"/>
      <c r="BA131" s="178"/>
      <c r="BB131" s="178"/>
      <c r="BC131" s="178"/>
      <c r="BD131" s="178"/>
      <c r="BE131" s="178"/>
      <c r="BF131" s="178"/>
      <c r="BG131" s="178"/>
      <c r="BH131" s="178"/>
      <c r="BI131" s="178"/>
      <c r="BJ131" s="178"/>
      <c r="BK131" s="178"/>
      <c r="BL131" s="178"/>
      <c r="BM131" s="178"/>
      <c r="BN131" s="178"/>
      <c r="BO131" s="178"/>
      <c r="BP131" s="178"/>
      <c r="BQ131" s="178"/>
      <c r="BR131" s="178"/>
      <c r="BS131" s="178"/>
      <c r="BT131" s="178"/>
      <c r="BU131" s="178"/>
    </row>
    <row r="132" spans="2:73" ht="45.75" customHeight="1" x14ac:dyDescent="0.25">
      <c r="B132" s="178"/>
      <c r="C132" s="360" t="s">
        <v>3625</v>
      </c>
      <c r="D132" s="360"/>
      <c r="E132" s="360"/>
      <c r="F132" s="360"/>
      <c r="G132" s="361" t="s">
        <v>3626</v>
      </c>
      <c r="H132" s="361"/>
      <c r="I132" s="361"/>
      <c r="J132" s="361"/>
      <c r="K132" s="361"/>
      <c r="L132" s="361"/>
      <c r="M132" s="361"/>
      <c r="N132" s="361"/>
      <c r="O132" s="361"/>
      <c r="P132" s="361"/>
      <c r="Q132" s="361"/>
      <c r="R132" s="361"/>
      <c r="S132" s="361"/>
      <c r="T132" s="361"/>
      <c r="U132" s="361"/>
      <c r="V132" s="361"/>
      <c r="W132" s="361"/>
      <c r="X132" s="361"/>
      <c r="Y132" s="361"/>
      <c r="Z132" s="361"/>
      <c r="AA132" s="361"/>
      <c r="AB132" s="361"/>
      <c r="AC132" s="361"/>
      <c r="AD132" s="361"/>
      <c r="AE132" s="361"/>
      <c r="AF132" s="361"/>
      <c r="AG132" s="361"/>
      <c r="AH132" s="361"/>
      <c r="AI132" s="361"/>
      <c r="AJ132" s="361"/>
      <c r="AK132" s="361"/>
      <c r="AL132" s="361"/>
      <c r="AM132" s="361"/>
      <c r="AN132" s="361"/>
      <c r="AO132" s="361"/>
      <c r="AP132" s="361"/>
      <c r="AQ132" s="361"/>
      <c r="AR132" s="361"/>
      <c r="AS132" s="178"/>
      <c r="AT132" s="178"/>
      <c r="AU132" s="178"/>
      <c r="AV132" s="178"/>
      <c r="AW132" s="178"/>
      <c r="AX132" s="178"/>
      <c r="AY132" s="178"/>
      <c r="AZ132" s="178"/>
      <c r="BA132" s="178"/>
      <c r="BB132" s="178"/>
      <c r="BC132" s="178"/>
      <c r="BD132" s="178"/>
      <c r="BE132" s="178"/>
      <c r="BF132" s="178"/>
      <c r="BG132" s="178"/>
      <c r="BH132" s="178"/>
      <c r="BI132" s="178"/>
      <c r="BJ132" s="178"/>
      <c r="BK132" s="178"/>
      <c r="BL132" s="178"/>
      <c r="BM132" s="178"/>
      <c r="BN132" s="178"/>
      <c r="BO132" s="178"/>
      <c r="BP132" s="178"/>
      <c r="BQ132" s="178"/>
      <c r="BR132" s="178"/>
      <c r="BS132" s="178"/>
      <c r="BT132" s="178"/>
      <c r="BU132" s="178"/>
    </row>
    <row r="133" spans="2:73" ht="45.75" customHeight="1" x14ac:dyDescent="0.25">
      <c r="B133" s="178"/>
      <c r="C133" s="360" t="s">
        <v>3627</v>
      </c>
      <c r="D133" s="360"/>
      <c r="E133" s="360"/>
      <c r="F133" s="360"/>
      <c r="G133" s="361" t="s">
        <v>3628</v>
      </c>
      <c r="H133" s="361"/>
      <c r="I133" s="361"/>
      <c r="J133" s="361"/>
      <c r="K133" s="361"/>
      <c r="L133" s="361"/>
      <c r="M133" s="361"/>
      <c r="N133" s="361"/>
      <c r="O133" s="361"/>
      <c r="P133" s="361"/>
      <c r="Q133" s="361"/>
      <c r="R133" s="361"/>
      <c r="S133" s="361"/>
      <c r="T133" s="361"/>
      <c r="U133" s="361"/>
      <c r="V133" s="361"/>
      <c r="W133" s="361"/>
      <c r="X133" s="361"/>
      <c r="Y133" s="361"/>
      <c r="Z133" s="361"/>
      <c r="AA133" s="361"/>
      <c r="AB133" s="361"/>
      <c r="AC133" s="361"/>
      <c r="AD133" s="361"/>
      <c r="AE133" s="361"/>
      <c r="AF133" s="361"/>
      <c r="AG133" s="361"/>
      <c r="AH133" s="361"/>
      <c r="AI133" s="361"/>
      <c r="AJ133" s="361"/>
      <c r="AK133" s="361"/>
      <c r="AL133" s="361"/>
      <c r="AM133" s="361"/>
      <c r="AN133" s="361"/>
      <c r="AO133" s="361"/>
      <c r="AP133" s="361"/>
      <c r="AQ133" s="361"/>
      <c r="AR133" s="361"/>
      <c r="AS133" s="178"/>
      <c r="AT133" s="178"/>
      <c r="AU133" s="178"/>
      <c r="AV133" s="178"/>
      <c r="AW133" s="178"/>
      <c r="AX133" s="178"/>
      <c r="AY133" s="178"/>
      <c r="AZ133" s="178"/>
      <c r="BA133" s="178"/>
      <c r="BB133" s="178"/>
      <c r="BC133" s="178"/>
      <c r="BD133" s="178"/>
      <c r="BE133" s="178"/>
      <c r="BF133" s="178"/>
      <c r="BG133" s="178"/>
      <c r="BH133" s="178"/>
      <c r="BI133" s="178"/>
      <c r="BJ133" s="178"/>
      <c r="BK133" s="178"/>
      <c r="BL133" s="178"/>
      <c r="BM133" s="178"/>
      <c r="BN133" s="178"/>
      <c r="BO133" s="178"/>
      <c r="BP133" s="178"/>
      <c r="BQ133" s="178"/>
      <c r="BR133" s="178"/>
      <c r="BS133" s="178"/>
      <c r="BT133" s="178"/>
      <c r="BU133" s="178"/>
    </row>
    <row r="134" spans="2:73" ht="45.75" customHeight="1" x14ac:dyDescent="0.25">
      <c r="B134" s="178"/>
      <c r="C134" s="360" t="s">
        <v>3629</v>
      </c>
      <c r="D134" s="360"/>
      <c r="E134" s="360"/>
      <c r="F134" s="360"/>
      <c r="G134" s="361" t="s">
        <v>3630</v>
      </c>
      <c r="H134" s="361"/>
      <c r="I134" s="361"/>
      <c r="J134" s="361"/>
      <c r="K134" s="361"/>
      <c r="L134" s="361"/>
      <c r="M134" s="361"/>
      <c r="N134" s="361"/>
      <c r="O134" s="361"/>
      <c r="P134" s="361"/>
      <c r="Q134" s="361"/>
      <c r="R134" s="361"/>
      <c r="S134" s="361"/>
      <c r="T134" s="361"/>
      <c r="U134" s="361"/>
      <c r="V134" s="361"/>
      <c r="W134" s="361"/>
      <c r="X134" s="361"/>
      <c r="Y134" s="361"/>
      <c r="Z134" s="361"/>
      <c r="AA134" s="361"/>
      <c r="AB134" s="361"/>
      <c r="AC134" s="361"/>
      <c r="AD134" s="361"/>
      <c r="AE134" s="361"/>
      <c r="AF134" s="361"/>
      <c r="AG134" s="361"/>
      <c r="AH134" s="361"/>
      <c r="AI134" s="361"/>
      <c r="AJ134" s="361"/>
      <c r="AK134" s="361"/>
      <c r="AL134" s="361"/>
      <c r="AM134" s="361"/>
      <c r="AN134" s="361"/>
      <c r="AO134" s="361"/>
      <c r="AP134" s="361"/>
      <c r="AQ134" s="361"/>
      <c r="AR134" s="361"/>
      <c r="AS134" s="178"/>
      <c r="AT134" s="178"/>
      <c r="AU134" s="178"/>
      <c r="AV134" s="178"/>
      <c r="AW134" s="178"/>
      <c r="AX134" s="178"/>
      <c r="AY134" s="178"/>
      <c r="AZ134" s="178"/>
      <c r="BA134" s="178"/>
      <c r="BB134" s="178"/>
      <c r="BC134" s="178"/>
      <c r="BD134" s="178"/>
      <c r="BE134" s="178"/>
      <c r="BF134" s="178"/>
      <c r="BG134" s="178"/>
      <c r="BH134" s="178"/>
      <c r="BI134" s="178"/>
      <c r="BJ134" s="178"/>
      <c r="BK134" s="178"/>
      <c r="BL134" s="178"/>
      <c r="BM134" s="178"/>
      <c r="BN134" s="178"/>
      <c r="BO134" s="178"/>
      <c r="BP134" s="178"/>
      <c r="BQ134" s="178"/>
      <c r="BR134" s="178"/>
      <c r="BS134" s="178"/>
      <c r="BT134" s="178"/>
      <c r="BU134" s="178"/>
    </row>
    <row r="135" spans="2:73" ht="15" customHeight="1" x14ac:dyDescent="0.25">
      <c r="B135" s="178"/>
      <c r="C135" s="179"/>
      <c r="D135" s="178"/>
      <c r="E135" s="178"/>
      <c r="F135" s="178"/>
      <c r="G135" s="178"/>
      <c r="H135" s="178"/>
      <c r="I135" s="178"/>
      <c r="J135" s="178"/>
      <c r="K135" s="178"/>
      <c r="L135" s="178"/>
      <c r="M135" s="178"/>
      <c r="N135" s="178"/>
      <c r="O135" s="178"/>
      <c r="P135" s="178"/>
      <c r="Q135" s="178"/>
      <c r="R135" s="178"/>
      <c r="S135" s="178"/>
      <c r="T135" s="178"/>
      <c r="U135" s="178"/>
      <c r="V135" s="178"/>
      <c r="W135" s="178"/>
      <c r="X135" s="178"/>
      <c r="Y135" s="178"/>
      <c r="Z135" s="178"/>
      <c r="AA135" s="178"/>
      <c r="AB135" s="178"/>
      <c r="AC135" s="178"/>
      <c r="AD135" s="178"/>
      <c r="AE135" s="178"/>
      <c r="AF135" s="178"/>
      <c r="AG135" s="178"/>
      <c r="AH135" s="178"/>
      <c r="AI135" s="178"/>
      <c r="AJ135" s="178"/>
      <c r="AK135" s="178"/>
      <c r="AL135" s="178"/>
      <c r="AM135" s="178"/>
      <c r="AN135" s="178"/>
      <c r="AO135" s="178"/>
      <c r="AP135" s="178"/>
      <c r="AQ135" s="178"/>
      <c r="AR135" s="178"/>
      <c r="AS135" s="178"/>
      <c r="AT135" s="178"/>
      <c r="AU135" s="178"/>
      <c r="AV135" s="178"/>
      <c r="AW135" s="178"/>
      <c r="AX135" s="178"/>
      <c r="AY135" s="178"/>
      <c r="AZ135" s="178"/>
      <c r="BA135" s="178"/>
      <c r="BB135" s="178"/>
      <c r="BC135" s="178"/>
      <c r="BD135" s="178"/>
      <c r="BE135" s="178"/>
      <c r="BF135" s="178"/>
      <c r="BG135" s="178"/>
      <c r="BH135" s="178"/>
      <c r="BI135" s="178"/>
      <c r="BJ135" s="178"/>
      <c r="BK135" s="178"/>
      <c r="BL135" s="178"/>
      <c r="BM135" s="178"/>
      <c r="BN135" s="178"/>
      <c r="BO135" s="178"/>
      <c r="BP135" s="178"/>
      <c r="BQ135" s="178"/>
      <c r="BR135" s="178"/>
      <c r="BS135" s="178"/>
      <c r="BT135" s="178"/>
      <c r="BU135" s="178"/>
    </row>
    <row r="136" spans="2:73" ht="15" customHeight="1" x14ac:dyDescent="0.25">
      <c r="B136" s="178"/>
      <c r="C136" s="179"/>
      <c r="D136" s="178"/>
      <c r="E136" s="178"/>
      <c r="F136" s="178"/>
      <c r="G136" s="178"/>
      <c r="H136" s="178"/>
      <c r="I136" s="178"/>
      <c r="J136" s="178"/>
      <c r="K136" s="178"/>
      <c r="L136" s="178"/>
      <c r="M136" s="178"/>
      <c r="N136" s="178"/>
      <c r="O136" s="178"/>
      <c r="P136" s="178"/>
      <c r="Q136" s="178"/>
      <c r="R136" s="178"/>
      <c r="S136" s="178"/>
      <c r="T136" s="178"/>
      <c r="U136" s="178"/>
      <c r="V136" s="178"/>
      <c r="W136" s="178"/>
      <c r="X136" s="178"/>
      <c r="Y136" s="178"/>
      <c r="Z136" s="178"/>
      <c r="AA136" s="178"/>
      <c r="AB136" s="178"/>
      <c r="AC136" s="178"/>
      <c r="AD136" s="178"/>
      <c r="AE136" s="178"/>
      <c r="AF136" s="178"/>
      <c r="AG136" s="178"/>
      <c r="AH136" s="178"/>
      <c r="AI136" s="178"/>
      <c r="AJ136" s="178"/>
      <c r="AK136" s="178"/>
      <c r="AL136" s="178"/>
      <c r="AM136" s="178"/>
      <c r="AN136" s="178"/>
      <c r="AO136" s="178"/>
      <c r="AP136" s="178"/>
      <c r="AQ136" s="178"/>
      <c r="AR136" s="178"/>
      <c r="AS136" s="178"/>
      <c r="AT136" s="178"/>
      <c r="AU136" s="178"/>
      <c r="AV136" s="178"/>
      <c r="AW136" s="178"/>
      <c r="AX136" s="178"/>
      <c r="AY136" s="178"/>
      <c r="AZ136" s="178"/>
      <c r="BA136" s="178"/>
      <c r="BB136" s="178"/>
      <c r="BC136" s="178"/>
      <c r="BD136" s="178"/>
      <c r="BE136" s="178"/>
      <c r="BF136" s="178"/>
      <c r="BG136" s="178"/>
      <c r="BH136" s="178"/>
      <c r="BI136" s="178"/>
      <c r="BJ136" s="178"/>
      <c r="BK136" s="178"/>
      <c r="BL136" s="178"/>
      <c r="BM136" s="178"/>
      <c r="BN136" s="178"/>
      <c r="BO136" s="178"/>
      <c r="BP136" s="178"/>
      <c r="BQ136" s="178"/>
      <c r="BR136" s="178"/>
      <c r="BS136" s="178"/>
      <c r="BT136" s="178"/>
      <c r="BU136" s="178"/>
    </row>
    <row r="137" spans="2:73" ht="15" customHeight="1" x14ac:dyDescent="0.25">
      <c r="B137" s="178"/>
      <c r="C137" s="179"/>
      <c r="D137" s="178"/>
      <c r="E137" s="178"/>
      <c r="F137" s="178"/>
      <c r="G137" s="178"/>
      <c r="H137" s="178"/>
      <c r="I137" s="178"/>
      <c r="J137" s="178"/>
      <c r="K137" s="178"/>
      <c r="L137" s="178"/>
      <c r="M137" s="178"/>
      <c r="N137" s="178"/>
      <c r="O137" s="178"/>
      <c r="P137" s="178"/>
      <c r="Q137" s="178"/>
      <c r="R137" s="178"/>
      <c r="S137" s="178"/>
      <c r="T137" s="178"/>
      <c r="U137" s="178"/>
      <c r="V137" s="178"/>
      <c r="W137" s="178"/>
      <c r="X137" s="178"/>
      <c r="Y137" s="178"/>
      <c r="Z137" s="178"/>
      <c r="AA137" s="178"/>
      <c r="AB137" s="178"/>
      <c r="AC137" s="178"/>
      <c r="AD137" s="178"/>
      <c r="AE137" s="178"/>
      <c r="AF137" s="178"/>
      <c r="AG137" s="178"/>
      <c r="AH137" s="178"/>
      <c r="AI137" s="178"/>
      <c r="AJ137" s="178"/>
      <c r="AK137" s="178"/>
      <c r="AL137" s="178"/>
      <c r="AM137" s="178"/>
      <c r="AN137" s="178"/>
      <c r="AO137" s="178"/>
      <c r="AP137" s="178"/>
      <c r="AQ137" s="178"/>
      <c r="AR137" s="178"/>
      <c r="AS137" s="178"/>
      <c r="AT137" s="178"/>
      <c r="AU137" s="178"/>
      <c r="AV137" s="178"/>
      <c r="AW137" s="178"/>
      <c r="AX137" s="178"/>
      <c r="AY137" s="178"/>
      <c r="AZ137" s="178"/>
      <c r="BA137" s="178"/>
      <c r="BB137" s="178"/>
      <c r="BC137" s="178"/>
      <c r="BD137" s="178"/>
      <c r="BE137" s="178"/>
      <c r="BF137" s="178"/>
      <c r="BG137" s="178"/>
      <c r="BH137" s="178"/>
      <c r="BI137" s="178"/>
      <c r="BJ137" s="178"/>
      <c r="BK137" s="178"/>
      <c r="BL137" s="178"/>
      <c r="BM137" s="178"/>
      <c r="BN137" s="178"/>
      <c r="BO137" s="178"/>
      <c r="BP137" s="178"/>
      <c r="BQ137" s="178"/>
      <c r="BR137" s="178"/>
      <c r="BS137" s="178"/>
      <c r="BT137" s="178"/>
      <c r="BU137" s="178"/>
    </row>
    <row r="138" spans="2:73" ht="15" customHeight="1" x14ac:dyDescent="0.25">
      <c r="B138" s="178"/>
      <c r="C138" s="179"/>
      <c r="D138" s="178"/>
      <c r="E138" s="178"/>
      <c r="F138" s="178"/>
      <c r="G138" s="178"/>
      <c r="H138" s="178"/>
      <c r="I138" s="178"/>
      <c r="J138" s="178"/>
      <c r="K138" s="178"/>
      <c r="L138" s="178"/>
      <c r="M138" s="178"/>
      <c r="N138" s="178"/>
      <c r="O138" s="178"/>
      <c r="P138" s="178"/>
      <c r="Q138" s="178"/>
      <c r="R138" s="178"/>
      <c r="S138" s="178"/>
      <c r="T138" s="178"/>
      <c r="U138" s="178"/>
      <c r="V138" s="178"/>
      <c r="W138" s="178"/>
      <c r="X138" s="178"/>
      <c r="Y138" s="178"/>
      <c r="Z138" s="178"/>
      <c r="AA138" s="178"/>
      <c r="AB138" s="178"/>
      <c r="AC138" s="178"/>
      <c r="AD138" s="178"/>
      <c r="AE138" s="178"/>
      <c r="AF138" s="178"/>
      <c r="AG138" s="178"/>
      <c r="AH138" s="178"/>
      <c r="AI138" s="178"/>
      <c r="AJ138" s="178"/>
      <c r="AK138" s="178"/>
      <c r="AL138" s="178"/>
      <c r="AM138" s="178"/>
      <c r="AN138" s="178"/>
      <c r="AO138" s="178"/>
      <c r="AP138" s="178"/>
      <c r="AQ138" s="178"/>
      <c r="AR138" s="178"/>
      <c r="AS138" s="178"/>
      <c r="AT138" s="178"/>
      <c r="AU138" s="178"/>
      <c r="AV138" s="178"/>
      <c r="AW138" s="178"/>
      <c r="AX138" s="178"/>
      <c r="AY138" s="178"/>
      <c r="AZ138" s="178"/>
      <c r="BA138" s="178"/>
      <c r="BB138" s="178"/>
      <c r="BC138" s="178"/>
      <c r="BD138" s="178"/>
      <c r="BE138" s="178"/>
      <c r="BF138" s="178"/>
      <c r="BG138" s="178"/>
      <c r="BH138" s="178"/>
      <c r="BI138" s="178"/>
      <c r="BJ138" s="178"/>
      <c r="BK138" s="178"/>
      <c r="BL138" s="178"/>
      <c r="BM138" s="178"/>
      <c r="BN138" s="178"/>
      <c r="BO138" s="178"/>
      <c r="BP138" s="178"/>
      <c r="BQ138" s="178"/>
      <c r="BR138" s="178"/>
      <c r="BS138" s="178"/>
      <c r="BT138" s="178"/>
      <c r="BU138" s="178"/>
    </row>
    <row r="139" spans="2:73" ht="15" customHeight="1" x14ac:dyDescent="0.25">
      <c r="B139" s="178"/>
      <c r="C139" s="179"/>
      <c r="D139" s="178"/>
      <c r="E139" s="178"/>
      <c r="F139" s="178"/>
      <c r="G139" s="178"/>
      <c r="H139" s="178"/>
      <c r="I139" s="178"/>
      <c r="J139" s="178"/>
      <c r="K139" s="178"/>
      <c r="L139" s="178"/>
      <c r="M139" s="178"/>
      <c r="N139" s="178"/>
      <c r="O139" s="178"/>
      <c r="P139" s="178"/>
      <c r="Q139" s="178"/>
      <c r="R139" s="178"/>
      <c r="S139" s="178"/>
      <c r="T139" s="178"/>
      <c r="U139" s="178"/>
      <c r="V139" s="178"/>
      <c r="W139" s="178"/>
      <c r="X139" s="178"/>
      <c r="Y139" s="178"/>
      <c r="Z139" s="178"/>
      <c r="AA139" s="178"/>
      <c r="AB139" s="178"/>
      <c r="AC139" s="178"/>
      <c r="AD139" s="178"/>
      <c r="AE139" s="178"/>
      <c r="AF139" s="178"/>
      <c r="AG139" s="178"/>
      <c r="AH139" s="178"/>
      <c r="AI139" s="178"/>
      <c r="AJ139" s="178"/>
      <c r="AK139" s="178"/>
      <c r="AL139" s="178"/>
      <c r="AM139" s="178"/>
      <c r="AN139" s="178"/>
      <c r="AO139" s="178"/>
      <c r="AP139" s="178"/>
      <c r="AQ139" s="178"/>
      <c r="AR139" s="178"/>
      <c r="AS139" s="178"/>
      <c r="AT139" s="178"/>
      <c r="AU139" s="178"/>
      <c r="AV139" s="178"/>
      <c r="AW139" s="178"/>
      <c r="AX139" s="178"/>
      <c r="AY139" s="178"/>
      <c r="AZ139" s="178"/>
      <c r="BA139" s="178"/>
      <c r="BB139" s="178"/>
      <c r="BC139" s="178"/>
      <c r="BD139" s="178"/>
      <c r="BE139" s="178"/>
      <c r="BF139" s="178"/>
      <c r="BG139" s="178"/>
      <c r="BH139" s="178"/>
      <c r="BI139" s="178"/>
      <c r="BJ139" s="178"/>
      <c r="BK139" s="178"/>
      <c r="BL139" s="178"/>
      <c r="BM139" s="178"/>
      <c r="BN139" s="178"/>
      <c r="BO139" s="178"/>
      <c r="BP139" s="178"/>
      <c r="BQ139" s="178"/>
      <c r="BR139" s="178"/>
      <c r="BS139" s="178"/>
      <c r="BT139" s="178"/>
      <c r="BU139" s="178"/>
    </row>
    <row r="140" spans="2:73" ht="15" customHeight="1" x14ac:dyDescent="0.25">
      <c r="B140" s="178"/>
      <c r="C140" s="179"/>
      <c r="D140" s="178"/>
      <c r="E140" s="178"/>
      <c r="F140" s="178"/>
      <c r="G140" s="178"/>
      <c r="H140" s="178"/>
      <c r="I140" s="178"/>
      <c r="J140" s="178"/>
      <c r="K140" s="178"/>
      <c r="L140" s="178"/>
      <c r="M140" s="178"/>
      <c r="N140" s="178"/>
      <c r="O140" s="178"/>
      <c r="P140" s="178"/>
      <c r="Q140" s="178"/>
      <c r="R140" s="178"/>
      <c r="S140" s="178"/>
      <c r="T140" s="178"/>
      <c r="U140" s="178"/>
      <c r="V140" s="178"/>
      <c r="W140" s="178"/>
      <c r="X140" s="178"/>
      <c r="Y140" s="178"/>
      <c r="Z140" s="178"/>
      <c r="AA140" s="178"/>
      <c r="AB140" s="178"/>
      <c r="AC140" s="178"/>
      <c r="AD140" s="178"/>
      <c r="AE140" s="178"/>
      <c r="AF140" s="178"/>
      <c r="AG140" s="178"/>
      <c r="AH140" s="178"/>
      <c r="AI140" s="178"/>
      <c r="AJ140" s="178"/>
      <c r="AK140" s="178"/>
      <c r="AL140" s="178"/>
      <c r="AM140" s="178"/>
      <c r="AN140" s="178"/>
      <c r="AO140" s="178"/>
      <c r="AP140" s="178"/>
      <c r="AQ140" s="178"/>
      <c r="AR140" s="178"/>
      <c r="AS140" s="178"/>
      <c r="AT140" s="178"/>
      <c r="AU140" s="178"/>
      <c r="AV140" s="178"/>
      <c r="AW140" s="178"/>
      <c r="AX140" s="178"/>
      <c r="AY140" s="178"/>
      <c r="AZ140" s="178"/>
      <c r="BA140" s="178"/>
      <c r="BB140" s="178"/>
      <c r="BC140" s="178"/>
      <c r="BD140" s="178"/>
      <c r="BE140" s="178"/>
      <c r="BF140" s="178"/>
      <c r="BG140" s="178"/>
      <c r="BH140" s="178"/>
      <c r="BI140" s="178"/>
      <c r="BJ140" s="178"/>
      <c r="BK140" s="178"/>
      <c r="BL140" s="178"/>
      <c r="BM140" s="178"/>
      <c r="BN140" s="178"/>
      <c r="BO140" s="178"/>
      <c r="BP140" s="178"/>
      <c r="BQ140" s="178"/>
      <c r="BR140" s="178"/>
      <c r="BS140" s="178"/>
      <c r="BT140" s="178"/>
      <c r="BU140" s="178"/>
    </row>
    <row r="141" spans="2:73" ht="15" customHeight="1" x14ac:dyDescent="0.25">
      <c r="B141" s="178"/>
      <c r="C141" s="179"/>
      <c r="D141" s="178"/>
      <c r="E141" s="178"/>
      <c r="F141" s="178"/>
      <c r="G141" s="178"/>
      <c r="H141" s="178"/>
      <c r="I141" s="178"/>
      <c r="J141" s="178"/>
      <c r="K141" s="178"/>
      <c r="L141" s="178"/>
      <c r="M141" s="178"/>
      <c r="N141" s="178"/>
      <c r="O141" s="178"/>
      <c r="P141" s="178"/>
      <c r="Q141" s="178"/>
      <c r="R141" s="178"/>
      <c r="S141" s="178"/>
      <c r="T141" s="178"/>
      <c r="U141" s="178"/>
      <c r="V141" s="178"/>
      <c r="W141" s="178"/>
      <c r="X141" s="178"/>
      <c r="Y141" s="178"/>
      <c r="Z141" s="178"/>
      <c r="AA141" s="178"/>
      <c r="AB141" s="178"/>
      <c r="AC141" s="178"/>
      <c r="AD141" s="178"/>
      <c r="AE141" s="178"/>
      <c r="AF141" s="178"/>
      <c r="AG141" s="178"/>
      <c r="AH141" s="178"/>
      <c r="AI141" s="178"/>
      <c r="AJ141" s="178"/>
      <c r="AK141" s="178"/>
      <c r="AL141" s="178"/>
      <c r="AM141" s="178"/>
      <c r="AN141" s="178"/>
      <c r="AO141" s="178"/>
      <c r="AP141" s="178"/>
      <c r="AQ141" s="178"/>
      <c r="AR141" s="178"/>
      <c r="AS141" s="178"/>
      <c r="AT141" s="178"/>
      <c r="AU141" s="178"/>
      <c r="AV141" s="178"/>
      <c r="AW141" s="178"/>
      <c r="AX141" s="178"/>
      <c r="AY141" s="178"/>
      <c r="AZ141" s="178"/>
      <c r="BA141" s="178"/>
      <c r="BB141" s="178"/>
      <c r="BC141" s="178"/>
      <c r="BD141" s="178"/>
      <c r="BE141" s="178"/>
      <c r="BF141" s="178"/>
      <c r="BG141" s="178"/>
      <c r="BH141" s="178"/>
      <c r="BI141" s="178"/>
      <c r="BJ141" s="178"/>
      <c r="BK141" s="178"/>
      <c r="BL141" s="178"/>
      <c r="BM141" s="178"/>
      <c r="BN141" s="178"/>
      <c r="BO141" s="178"/>
      <c r="BP141" s="178"/>
      <c r="BQ141" s="178"/>
      <c r="BR141" s="178"/>
      <c r="BS141" s="178"/>
      <c r="BT141" s="178"/>
      <c r="BU141" s="178"/>
    </row>
    <row r="142" spans="2:73" ht="15" customHeight="1" x14ac:dyDescent="0.25">
      <c r="B142" s="178"/>
      <c r="C142" s="179"/>
      <c r="D142" s="178"/>
      <c r="E142" s="178"/>
      <c r="F142" s="178"/>
      <c r="G142" s="178"/>
      <c r="H142" s="178"/>
      <c r="I142" s="178"/>
      <c r="J142" s="178"/>
      <c r="K142" s="178"/>
      <c r="L142" s="178"/>
      <c r="M142" s="178"/>
      <c r="N142" s="178"/>
      <c r="O142" s="178"/>
      <c r="P142" s="178"/>
      <c r="Q142" s="178"/>
      <c r="R142" s="178"/>
      <c r="S142" s="178"/>
      <c r="T142" s="178"/>
      <c r="U142" s="178"/>
      <c r="V142" s="178"/>
      <c r="W142" s="178"/>
      <c r="X142" s="178"/>
      <c r="Y142" s="178"/>
      <c r="Z142" s="178"/>
      <c r="AA142" s="178"/>
      <c r="AB142" s="178"/>
      <c r="AC142" s="178"/>
      <c r="AD142" s="178"/>
      <c r="AE142" s="178"/>
      <c r="AF142" s="178"/>
      <c r="AG142" s="178"/>
      <c r="AH142" s="178"/>
      <c r="AI142" s="178"/>
      <c r="AJ142" s="178"/>
      <c r="AK142" s="178"/>
      <c r="AL142" s="178"/>
      <c r="AM142" s="178"/>
      <c r="AN142" s="178"/>
      <c r="AO142" s="178"/>
      <c r="AP142" s="178"/>
      <c r="AQ142" s="178"/>
      <c r="AR142" s="178"/>
      <c r="AS142" s="178"/>
      <c r="AT142" s="178"/>
      <c r="AU142" s="178"/>
      <c r="AV142" s="178"/>
      <c r="AW142" s="178"/>
      <c r="AX142" s="178"/>
      <c r="AY142" s="178"/>
      <c r="AZ142" s="178"/>
      <c r="BA142" s="178"/>
      <c r="BB142" s="178"/>
      <c r="BC142" s="178"/>
      <c r="BD142" s="178"/>
      <c r="BE142" s="178"/>
      <c r="BF142" s="178"/>
      <c r="BG142" s="178"/>
      <c r="BH142" s="178"/>
      <c r="BI142" s="178"/>
      <c r="BJ142" s="178"/>
      <c r="BK142" s="178"/>
      <c r="BL142" s="178"/>
      <c r="BM142" s="178"/>
      <c r="BN142" s="178"/>
      <c r="BO142" s="178"/>
      <c r="BP142" s="178"/>
      <c r="BQ142" s="178"/>
      <c r="BR142" s="178"/>
      <c r="BS142" s="178"/>
      <c r="BT142" s="178"/>
      <c r="BU142" s="178"/>
    </row>
    <row r="143" spans="2:73" ht="15" customHeight="1" x14ac:dyDescent="0.25">
      <c r="B143" s="178"/>
      <c r="C143" s="179"/>
      <c r="D143" s="178"/>
      <c r="E143" s="178"/>
      <c r="F143" s="178"/>
      <c r="G143" s="178"/>
      <c r="H143" s="178"/>
      <c r="I143" s="178"/>
      <c r="J143" s="178"/>
      <c r="K143" s="178"/>
      <c r="L143" s="178"/>
      <c r="M143" s="178"/>
      <c r="N143" s="178"/>
      <c r="O143" s="178"/>
      <c r="P143" s="178"/>
      <c r="Q143" s="178"/>
      <c r="R143" s="178"/>
      <c r="S143" s="178"/>
      <c r="T143" s="178"/>
      <c r="U143" s="178"/>
      <c r="V143" s="178"/>
      <c r="W143" s="178"/>
      <c r="X143" s="178"/>
      <c r="Y143" s="178"/>
      <c r="Z143" s="178"/>
      <c r="AA143" s="178"/>
      <c r="AB143" s="178"/>
      <c r="AC143" s="178"/>
      <c r="AD143" s="178"/>
      <c r="AE143" s="178"/>
      <c r="AF143" s="178"/>
      <c r="AG143" s="178"/>
      <c r="AH143" s="178"/>
      <c r="AI143" s="178"/>
      <c r="AJ143" s="178"/>
      <c r="AK143" s="178"/>
      <c r="AL143" s="178"/>
      <c r="AM143" s="178"/>
      <c r="AN143" s="178"/>
      <c r="AO143" s="178"/>
      <c r="AP143" s="178"/>
      <c r="AQ143" s="178"/>
      <c r="AR143" s="178"/>
      <c r="AS143" s="178"/>
      <c r="AT143" s="178"/>
      <c r="AU143" s="178"/>
      <c r="AV143" s="178"/>
      <c r="AW143" s="178"/>
      <c r="AX143" s="178"/>
      <c r="AY143" s="178"/>
      <c r="AZ143" s="178"/>
      <c r="BA143" s="178"/>
      <c r="BB143" s="178"/>
      <c r="BC143" s="178"/>
      <c r="BD143" s="178"/>
      <c r="BE143" s="178"/>
      <c r="BF143" s="178"/>
      <c r="BG143" s="178"/>
      <c r="BH143" s="178"/>
      <c r="BI143" s="178"/>
      <c r="BJ143" s="178"/>
      <c r="BK143" s="178"/>
      <c r="BL143" s="178"/>
      <c r="BM143" s="178"/>
      <c r="BN143" s="178"/>
      <c r="BO143" s="178"/>
      <c r="BP143" s="178"/>
      <c r="BQ143" s="178"/>
      <c r="BR143" s="178"/>
      <c r="BS143" s="178"/>
      <c r="BT143" s="178"/>
      <c r="BU143" s="178"/>
    </row>
    <row r="144" spans="2:73" ht="15" customHeight="1" x14ac:dyDescent="0.25">
      <c r="B144" s="178"/>
      <c r="C144" s="179"/>
      <c r="D144" s="178"/>
      <c r="E144" s="178"/>
      <c r="F144" s="178"/>
      <c r="G144" s="178"/>
      <c r="H144" s="178"/>
      <c r="I144" s="178"/>
      <c r="J144" s="178"/>
      <c r="K144" s="178"/>
      <c r="L144" s="178"/>
      <c r="M144" s="178"/>
      <c r="N144" s="178"/>
      <c r="O144" s="178"/>
      <c r="P144" s="178"/>
      <c r="Q144" s="178"/>
      <c r="R144" s="178"/>
      <c r="S144" s="178"/>
      <c r="T144" s="178"/>
      <c r="U144" s="178"/>
      <c r="V144" s="178"/>
      <c r="W144" s="178"/>
      <c r="X144" s="178"/>
      <c r="Y144" s="178"/>
      <c r="Z144" s="178"/>
      <c r="AA144" s="178"/>
      <c r="AB144" s="178"/>
      <c r="AC144" s="178"/>
      <c r="AD144" s="178"/>
      <c r="AE144" s="178"/>
      <c r="AF144" s="178"/>
      <c r="AG144" s="178"/>
      <c r="AH144" s="178"/>
      <c r="AI144" s="178"/>
      <c r="AJ144" s="178"/>
      <c r="AK144" s="178"/>
      <c r="AL144" s="178"/>
      <c r="AM144" s="178"/>
      <c r="AN144" s="178"/>
      <c r="AO144" s="178"/>
      <c r="AP144" s="178"/>
      <c r="AQ144" s="178"/>
      <c r="AR144" s="178"/>
      <c r="AS144" s="178"/>
      <c r="AT144" s="178"/>
      <c r="AU144" s="178"/>
      <c r="AV144" s="178"/>
      <c r="AW144" s="178"/>
      <c r="AX144" s="178"/>
      <c r="AY144" s="178"/>
      <c r="AZ144" s="178"/>
      <c r="BA144" s="178"/>
      <c r="BB144" s="178"/>
      <c r="BC144" s="178"/>
      <c r="BD144" s="178"/>
      <c r="BE144" s="178"/>
      <c r="BF144" s="178"/>
      <c r="BG144" s="178"/>
      <c r="BH144" s="178"/>
      <c r="BI144" s="178"/>
      <c r="BJ144" s="178"/>
      <c r="BK144" s="178"/>
      <c r="BL144" s="178"/>
      <c r="BM144" s="178"/>
      <c r="BN144" s="178"/>
      <c r="BO144" s="178"/>
      <c r="BP144" s="178"/>
      <c r="BQ144" s="178"/>
      <c r="BR144" s="178"/>
      <c r="BS144" s="178"/>
      <c r="BT144" s="178"/>
      <c r="BU144" s="178"/>
    </row>
    <row r="145" spans="2:73" ht="15" customHeight="1" x14ac:dyDescent="0.25">
      <c r="B145" s="178"/>
      <c r="C145" s="179"/>
      <c r="D145" s="178"/>
      <c r="E145" s="178"/>
      <c r="F145" s="178"/>
      <c r="G145" s="178"/>
      <c r="H145" s="178"/>
      <c r="I145" s="178"/>
      <c r="J145" s="178"/>
      <c r="K145" s="178"/>
      <c r="L145" s="178"/>
      <c r="M145" s="178"/>
      <c r="N145" s="178"/>
      <c r="O145" s="178"/>
      <c r="P145" s="178"/>
      <c r="Q145" s="178"/>
      <c r="R145" s="178"/>
      <c r="S145" s="178"/>
      <c r="T145" s="178"/>
      <c r="U145" s="178"/>
      <c r="V145" s="178"/>
      <c r="W145" s="178"/>
      <c r="X145" s="178"/>
      <c r="Y145" s="178"/>
      <c r="Z145" s="178"/>
      <c r="AA145" s="178"/>
      <c r="AB145" s="178"/>
      <c r="AC145" s="178"/>
      <c r="AD145" s="178"/>
      <c r="AE145" s="178"/>
      <c r="AF145" s="178"/>
      <c r="AG145" s="178"/>
      <c r="AH145" s="178"/>
      <c r="AI145" s="178"/>
      <c r="AJ145" s="178"/>
      <c r="AK145" s="178"/>
      <c r="AL145" s="178"/>
      <c r="AM145" s="178"/>
      <c r="AN145" s="178"/>
      <c r="AO145" s="178"/>
      <c r="AP145" s="178"/>
      <c r="AQ145" s="178"/>
      <c r="AR145" s="178"/>
      <c r="AS145" s="178"/>
      <c r="AT145" s="178"/>
      <c r="AU145" s="178"/>
      <c r="AV145" s="178"/>
      <c r="AW145" s="178"/>
      <c r="AX145" s="178"/>
      <c r="AY145" s="178"/>
      <c r="AZ145" s="178"/>
      <c r="BA145" s="178"/>
      <c r="BB145" s="178"/>
      <c r="BC145" s="178"/>
      <c r="BD145" s="178"/>
      <c r="BE145" s="178"/>
      <c r="BF145" s="178"/>
      <c r="BG145" s="178"/>
      <c r="BH145" s="178"/>
      <c r="BI145" s="178"/>
      <c r="BJ145" s="178"/>
      <c r="BK145" s="178"/>
      <c r="BL145" s="178"/>
      <c r="BM145" s="178"/>
      <c r="BN145" s="178"/>
      <c r="BO145" s="178"/>
      <c r="BP145" s="178"/>
      <c r="BQ145" s="178"/>
      <c r="BR145" s="178"/>
      <c r="BS145" s="178"/>
      <c r="BT145" s="178"/>
      <c r="BU145" s="178"/>
    </row>
    <row r="146" spans="2:73" ht="15" customHeight="1" x14ac:dyDescent="0.25">
      <c r="B146" s="178"/>
      <c r="C146" s="179"/>
      <c r="D146" s="178"/>
      <c r="E146" s="178"/>
      <c r="F146" s="178"/>
      <c r="G146" s="178"/>
      <c r="H146" s="178"/>
      <c r="I146" s="178"/>
      <c r="J146" s="178"/>
      <c r="K146" s="178"/>
      <c r="L146" s="178"/>
      <c r="M146" s="178"/>
      <c r="N146" s="178"/>
      <c r="O146" s="178"/>
      <c r="P146" s="178"/>
      <c r="Q146" s="178"/>
      <c r="R146" s="178"/>
      <c r="S146" s="178"/>
      <c r="T146" s="178"/>
      <c r="U146" s="178"/>
      <c r="V146" s="178"/>
      <c r="W146" s="178"/>
      <c r="X146" s="178"/>
      <c r="Y146" s="178"/>
      <c r="Z146" s="178"/>
      <c r="AA146" s="178"/>
      <c r="AB146" s="178"/>
      <c r="AC146" s="178"/>
      <c r="AD146" s="178"/>
      <c r="AE146" s="178"/>
      <c r="AF146" s="178"/>
      <c r="AG146" s="178"/>
      <c r="AH146" s="178"/>
      <c r="AI146" s="178"/>
      <c r="AJ146" s="178"/>
      <c r="AK146" s="178"/>
      <c r="AL146" s="178"/>
      <c r="AM146" s="178"/>
      <c r="AN146" s="178"/>
      <c r="AO146" s="178"/>
      <c r="AP146" s="178"/>
      <c r="AQ146" s="178"/>
      <c r="AR146" s="178"/>
      <c r="AS146" s="178"/>
      <c r="AT146" s="178"/>
      <c r="AU146" s="178"/>
      <c r="AV146" s="178"/>
      <c r="AW146" s="178"/>
      <c r="AX146" s="178"/>
      <c r="AY146" s="178"/>
      <c r="AZ146" s="178"/>
      <c r="BA146" s="178"/>
      <c r="BB146" s="178"/>
      <c r="BC146" s="178"/>
      <c r="BD146" s="178"/>
      <c r="BE146" s="178"/>
      <c r="BF146" s="178"/>
      <c r="BG146" s="178"/>
      <c r="BH146" s="178"/>
      <c r="BI146" s="178"/>
      <c r="BJ146" s="178"/>
      <c r="BK146" s="178"/>
      <c r="BL146" s="178"/>
      <c r="BM146" s="178"/>
      <c r="BN146" s="178"/>
      <c r="BO146" s="178"/>
      <c r="BP146" s="178"/>
      <c r="BQ146" s="178"/>
      <c r="BR146" s="178"/>
      <c r="BS146" s="178"/>
      <c r="BT146" s="178"/>
      <c r="BU146" s="178"/>
    </row>
    <row r="147" spans="2:73" ht="15" customHeight="1" x14ac:dyDescent="0.25">
      <c r="B147" s="178"/>
      <c r="C147" s="179"/>
      <c r="D147" s="178"/>
      <c r="E147" s="178"/>
      <c r="F147" s="178"/>
      <c r="G147" s="178"/>
      <c r="H147" s="178"/>
      <c r="I147" s="178"/>
      <c r="J147" s="178"/>
      <c r="K147" s="178"/>
      <c r="L147" s="178"/>
      <c r="M147" s="178"/>
      <c r="N147" s="178"/>
      <c r="O147" s="178"/>
      <c r="P147" s="178"/>
      <c r="Q147" s="178"/>
      <c r="R147" s="178"/>
      <c r="S147" s="178"/>
      <c r="T147" s="178"/>
      <c r="U147" s="178"/>
      <c r="V147" s="178"/>
      <c r="W147" s="178"/>
      <c r="X147" s="178"/>
      <c r="Y147" s="178"/>
      <c r="Z147" s="178"/>
      <c r="AA147" s="178"/>
      <c r="AB147" s="178"/>
      <c r="AC147" s="178"/>
      <c r="AD147" s="178"/>
      <c r="AE147" s="178"/>
      <c r="AF147" s="178"/>
      <c r="AG147" s="178"/>
      <c r="AH147" s="178"/>
      <c r="AI147" s="178"/>
      <c r="AJ147" s="178"/>
      <c r="AK147" s="178"/>
      <c r="AL147" s="178"/>
      <c r="AM147" s="178"/>
      <c r="AN147" s="178"/>
      <c r="AO147" s="178"/>
      <c r="AP147" s="178"/>
      <c r="AQ147" s="178"/>
      <c r="AR147" s="178"/>
      <c r="AS147" s="178"/>
      <c r="AT147" s="178"/>
      <c r="AU147" s="178"/>
      <c r="AV147" s="178"/>
      <c r="AW147" s="178"/>
      <c r="AX147" s="178"/>
      <c r="AY147" s="178"/>
      <c r="AZ147" s="178"/>
      <c r="BA147" s="178"/>
      <c r="BB147" s="178"/>
      <c r="BC147" s="178"/>
      <c r="BD147" s="178"/>
      <c r="BE147" s="178"/>
      <c r="BF147" s="178"/>
      <c r="BG147" s="178"/>
      <c r="BH147" s="178"/>
      <c r="BI147" s="178"/>
      <c r="BJ147" s="178"/>
      <c r="BK147" s="178"/>
      <c r="BL147" s="178"/>
      <c r="BM147" s="178"/>
      <c r="BN147" s="178"/>
      <c r="BO147" s="178"/>
      <c r="BP147" s="178"/>
      <c r="BQ147" s="178"/>
      <c r="BR147" s="178"/>
      <c r="BS147" s="178"/>
      <c r="BT147" s="178"/>
      <c r="BU147" s="178"/>
    </row>
    <row r="148" spans="2:73" ht="15" customHeight="1" x14ac:dyDescent="0.25">
      <c r="B148" s="178"/>
      <c r="C148" s="179"/>
      <c r="D148" s="178"/>
      <c r="E148" s="178"/>
      <c r="F148" s="178"/>
      <c r="G148" s="178"/>
      <c r="H148" s="178"/>
      <c r="I148" s="178"/>
      <c r="J148" s="178"/>
      <c r="K148" s="178"/>
      <c r="L148" s="178"/>
      <c r="M148" s="178"/>
      <c r="N148" s="178"/>
      <c r="O148" s="178"/>
      <c r="P148" s="178"/>
      <c r="Q148" s="178"/>
      <c r="R148" s="178"/>
      <c r="S148" s="178"/>
      <c r="T148" s="178"/>
      <c r="U148" s="178"/>
      <c r="V148" s="178"/>
      <c r="W148" s="178"/>
      <c r="X148" s="178"/>
      <c r="Y148" s="178"/>
      <c r="Z148" s="178"/>
      <c r="AA148" s="178"/>
      <c r="AB148" s="178"/>
      <c r="AC148" s="178"/>
      <c r="AD148" s="178"/>
      <c r="AE148" s="178"/>
      <c r="AF148" s="178"/>
      <c r="AG148" s="178"/>
      <c r="AH148" s="178"/>
      <c r="AI148" s="178"/>
      <c r="AJ148" s="178"/>
      <c r="AK148" s="178"/>
      <c r="AL148" s="178"/>
      <c r="AM148" s="178"/>
      <c r="AN148" s="178"/>
      <c r="AO148" s="178"/>
      <c r="AP148" s="178"/>
      <c r="AQ148" s="178"/>
      <c r="AR148" s="178"/>
      <c r="AS148" s="178"/>
      <c r="AT148" s="178"/>
      <c r="AU148" s="178"/>
      <c r="AV148" s="178"/>
      <c r="AW148" s="178"/>
      <c r="AX148" s="178"/>
      <c r="AY148" s="178"/>
      <c r="AZ148" s="178"/>
      <c r="BA148" s="178"/>
      <c r="BB148" s="178"/>
      <c r="BC148" s="178"/>
      <c r="BD148" s="178"/>
      <c r="BE148" s="178"/>
      <c r="BF148" s="178"/>
      <c r="BG148" s="178"/>
      <c r="BH148" s="178"/>
      <c r="BI148" s="178"/>
      <c r="BJ148" s="178"/>
      <c r="BK148" s="178"/>
      <c r="BL148" s="178"/>
      <c r="BM148" s="178"/>
      <c r="BN148" s="178"/>
      <c r="BO148" s="178"/>
      <c r="BP148" s="178"/>
      <c r="BQ148" s="178"/>
      <c r="BR148" s="178"/>
      <c r="BS148" s="178"/>
      <c r="BT148" s="178"/>
      <c r="BU148" s="178"/>
    </row>
    <row r="149" spans="2:73" ht="15" customHeight="1" x14ac:dyDescent="0.25">
      <c r="B149" s="178"/>
      <c r="C149" s="179"/>
      <c r="D149" s="178"/>
      <c r="E149" s="178"/>
      <c r="F149" s="178"/>
      <c r="G149" s="178"/>
      <c r="H149" s="178"/>
      <c r="I149" s="178"/>
      <c r="J149" s="178"/>
      <c r="K149" s="178"/>
      <c r="L149" s="178"/>
      <c r="M149" s="178"/>
      <c r="N149" s="178"/>
      <c r="O149" s="178"/>
      <c r="P149" s="178"/>
      <c r="Q149" s="178"/>
      <c r="R149" s="178"/>
      <c r="S149" s="178"/>
      <c r="T149" s="178"/>
      <c r="U149" s="178"/>
      <c r="V149" s="178"/>
      <c r="W149" s="178"/>
      <c r="X149" s="178"/>
      <c r="Y149" s="178"/>
      <c r="Z149" s="178"/>
      <c r="AA149" s="178"/>
      <c r="AB149" s="178"/>
      <c r="AC149" s="178"/>
      <c r="AD149" s="178"/>
      <c r="AE149" s="178"/>
      <c r="AF149" s="178"/>
      <c r="AG149" s="178"/>
      <c r="AH149" s="178"/>
      <c r="AI149" s="178"/>
      <c r="AJ149" s="178"/>
      <c r="AK149" s="178"/>
      <c r="AL149" s="178"/>
      <c r="AM149" s="178"/>
      <c r="AN149" s="178"/>
      <c r="AO149" s="178"/>
      <c r="AP149" s="178"/>
      <c r="AQ149" s="178"/>
      <c r="AR149" s="178"/>
      <c r="AS149" s="178"/>
      <c r="AT149" s="178"/>
      <c r="AU149" s="178"/>
      <c r="AV149" s="178"/>
      <c r="AW149" s="178"/>
      <c r="AX149" s="178"/>
      <c r="AY149" s="178"/>
      <c r="AZ149" s="178"/>
      <c r="BA149" s="178"/>
      <c r="BB149" s="178"/>
      <c r="BC149" s="178"/>
      <c r="BD149" s="178"/>
      <c r="BE149" s="178"/>
      <c r="BF149" s="178"/>
      <c r="BG149" s="178"/>
      <c r="BH149" s="178"/>
      <c r="BI149" s="178"/>
      <c r="BJ149" s="178"/>
      <c r="BK149" s="178"/>
      <c r="BL149" s="178"/>
      <c r="BM149" s="178"/>
      <c r="BN149" s="178"/>
      <c r="BO149" s="178"/>
      <c r="BP149" s="178"/>
      <c r="BQ149" s="178"/>
      <c r="BR149" s="178"/>
      <c r="BS149" s="178"/>
      <c r="BT149" s="178"/>
      <c r="BU149" s="178"/>
    </row>
    <row r="150" spans="2:73" ht="15" customHeight="1" x14ac:dyDescent="0.25">
      <c r="B150" s="178"/>
      <c r="C150" s="179"/>
      <c r="D150" s="178"/>
      <c r="E150" s="178"/>
      <c r="F150" s="178"/>
      <c r="G150" s="178"/>
      <c r="H150" s="178"/>
      <c r="I150" s="178"/>
      <c r="J150" s="178"/>
      <c r="K150" s="178"/>
      <c r="L150" s="178"/>
      <c r="M150" s="178"/>
      <c r="N150" s="178"/>
      <c r="O150" s="178"/>
      <c r="P150" s="178"/>
      <c r="Q150" s="178"/>
      <c r="R150" s="178"/>
      <c r="S150" s="178"/>
      <c r="T150" s="178"/>
      <c r="U150" s="178"/>
      <c r="V150" s="178"/>
      <c r="W150" s="178"/>
      <c r="X150" s="178"/>
      <c r="Y150" s="178"/>
      <c r="Z150" s="178"/>
      <c r="AA150" s="178"/>
      <c r="AB150" s="178"/>
      <c r="AC150" s="178"/>
      <c r="AD150" s="178"/>
      <c r="AE150" s="178"/>
      <c r="AF150" s="178"/>
      <c r="AG150" s="178"/>
      <c r="AH150" s="178"/>
      <c r="AI150" s="178"/>
      <c r="AJ150" s="178"/>
      <c r="AK150" s="178"/>
      <c r="AL150" s="178"/>
      <c r="AM150" s="178"/>
      <c r="AN150" s="178"/>
      <c r="AO150" s="178"/>
      <c r="AP150" s="178"/>
      <c r="AQ150" s="178"/>
      <c r="AR150" s="178"/>
      <c r="AS150" s="178"/>
      <c r="AT150" s="178"/>
      <c r="AU150" s="178"/>
      <c r="AV150" s="178"/>
      <c r="AW150" s="178"/>
      <c r="AX150" s="178"/>
      <c r="AY150" s="178"/>
      <c r="AZ150" s="178"/>
      <c r="BA150" s="178"/>
      <c r="BB150" s="178"/>
      <c r="BC150" s="178"/>
      <c r="BD150" s="178"/>
      <c r="BE150" s="178"/>
      <c r="BF150" s="178"/>
      <c r="BG150" s="178"/>
      <c r="BH150" s="178"/>
      <c r="BI150" s="178"/>
      <c r="BJ150" s="178"/>
      <c r="BK150" s="178"/>
      <c r="BL150" s="178"/>
      <c r="BM150" s="178"/>
      <c r="BN150" s="178"/>
      <c r="BO150" s="178"/>
      <c r="BP150" s="178"/>
      <c r="BQ150" s="178"/>
      <c r="BR150" s="178"/>
      <c r="BS150" s="178"/>
      <c r="BT150" s="178"/>
      <c r="BU150" s="178"/>
    </row>
    <row r="151" spans="2:73" ht="15" customHeight="1" x14ac:dyDescent="0.25">
      <c r="B151" s="178"/>
      <c r="C151" s="179"/>
      <c r="D151" s="178"/>
      <c r="E151" s="178"/>
      <c r="F151" s="178"/>
      <c r="G151" s="178"/>
      <c r="H151" s="178"/>
      <c r="I151" s="178"/>
      <c r="J151" s="178"/>
      <c r="K151" s="178"/>
      <c r="L151" s="178"/>
      <c r="M151" s="178"/>
      <c r="N151" s="178"/>
      <c r="O151" s="178"/>
      <c r="P151" s="178"/>
      <c r="Q151" s="178"/>
      <c r="R151" s="178"/>
      <c r="S151" s="178"/>
      <c r="T151" s="178"/>
      <c r="U151" s="178"/>
      <c r="V151" s="178"/>
      <c r="W151" s="178"/>
      <c r="X151" s="178"/>
      <c r="Y151" s="178"/>
      <c r="Z151" s="178"/>
      <c r="AA151" s="178"/>
      <c r="AB151" s="178"/>
      <c r="AC151" s="178"/>
      <c r="AD151" s="178"/>
      <c r="AE151" s="178"/>
      <c r="AF151" s="178"/>
      <c r="AG151" s="178"/>
      <c r="AH151" s="178"/>
      <c r="AI151" s="178"/>
      <c r="AJ151" s="178"/>
      <c r="AK151" s="178"/>
      <c r="AL151" s="178"/>
      <c r="AM151" s="178"/>
      <c r="AN151" s="178"/>
      <c r="AO151" s="178"/>
      <c r="AP151" s="178"/>
      <c r="AQ151" s="178"/>
      <c r="AR151" s="178"/>
      <c r="AS151" s="178"/>
      <c r="AT151" s="178"/>
      <c r="AU151" s="178"/>
      <c r="AV151" s="178"/>
      <c r="AW151" s="178"/>
      <c r="AX151" s="178"/>
      <c r="AY151" s="178"/>
      <c r="AZ151" s="178"/>
      <c r="BA151" s="178"/>
      <c r="BB151" s="178"/>
      <c r="BC151" s="178"/>
      <c r="BD151" s="178"/>
      <c r="BE151" s="178"/>
      <c r="BF151" s="178"/>
      <c r="BG151" s="178"/>
      <c r="BH151" s="178"/>
      <c r="BI151" s="178"/>
      <c r="BJ151" s="178"/>
      <c r="BK151" s="178"/>
      <c r="BL151" s="178"/>
      <c r="BM151" s="178"/>
      <c r="BN151" s="178"/>
      <c r="BO151" s="178"/>
      <c r="BP151" s="178"/>
      <c r="BQ151" s="178"/>
      <c r="BR151" s="178"/>
      <c r="BS151" s="178"/>
      <c r="BT151" s="178"/>
      <c r="BU151" s="178"/>
    </row>
    <row r="152" spans="2:73" ht="15" customHeight="1" x14ac:dyDescent="0.25">
      <c r="B152" s="178"/>
      <c r="C152" s="179"/>
      <c r="D152" s="178"/>
      <c r="E152" s="178"/>
      <c r="F152" s="178"/>
      <c r="G152" s="178"/>
      <c r="H152" s="178"/>
      <c r="I152" s="178"/>
      <c r="J152" s="178"/>
      <c r="K152" s="178"/>
      <c r="L152" s="178"/>
      <c r="M152" s="178"/>
      <c r="N152" s="178"/>
      <c r="O152" s="178"/>
      <c r="P152" s="178"/>
      <c r="Q152" s="178"/>
      <c r="R152" s="178"/>
      <c r="S152" s="178"/>
      <c r="T152" s="178"/>
      <c r="U152" s="178"/>
      <c r="V152" s="178"/>
      <c r="W152" s="178"/>
      <c r="X152" s="178"/>
      <c r="Y152" s="178"/>
      <c r="Z152" s="178"/>
      <c r="AA152" s="178"/>
      <c r="AB152" s="178"/>
      <c r="AC152" s="178"/>
      <c r="AD152" s="178"/>
      <c r="AE152" s="178"/>
      <c r="AF152" s="178"/>
      <c r="AG152" s="178"/>
      <c r="AH152" s="178"/>
      <c r="AI152" s="178"/>
      <c r="AJ152" s="178"/>
      <c r="AK152" s="178"/>
      <c r="AL152" s="178"/>
      <c r="AM152" s="178"/>
      <c r="AN152" s="178"/>
      <c r="AO152" s="178"/>
      <c r="AP152" s="178"/>
      <c r="AQ152" s="178"/>
      <c r="AR152" s="178"/>
      <c r="AS152" s="178"/>
      <c r="AT152" s="178"/>
      <c r="AU152" s="178"/>
      <c r="AV152" s="178"/>
      <c r="AW152" s="178"/>
      <c r="AX152" s="178"/>
      <c r="AY152" s="178"/>
      <c r="AZ152" s="178"/>
      <c r="BA152" s="178"/>
      <c r="BB152" s="178"/>
      <c r="BC152" s="178"/>
      <c r="BD152" s="178"/>
      <c r="BE152" s="178"/>
      <c r="BF152" s="178"/>
      <c r="BG152" s="178"/>
      <c r="BH152" s="178"/>
      <c r="BI152" s="178"/>
      <c r="BJ152" s="178"/>
      <c r="BK152" s="178"/>
      <c r="BL152" s="178"/>
      <c r="BM152" s="178"/>
      <c r="BN152" s="178"/>
      <c r="BO152" s="178"/>
      <c r="BP152" s="178"/>
      <c r="BQ152" s="178"/>
      <c r="BR152" s="178"/>
      <c r="BS152" s="178"/>
      <c r="BT152" s="178"/>
      <c r="BU152" s="178"/>
    </row>
    <row r="153" spans="2:73" ht="15" customHeight="1" x14ac:dyDescent="0.25">
      <c r="B153" s="178"/>
      <c r="C153" s="179"/>
      <c r="D153" s="178"/>
      <c r="E153" s="178"/>
      <c r="F153" s="178"/>
      <c r="G153" s="178"/>
      <c r="H153" s="178"/>
      <c r="I153" s="178"/>
      <c r="J153" s="178"/>
      <c r="K153" s="178"/>
      <c r="L153" s="178"/>
      <c r="M153" s="178"/>
      <c r="N153" s="178"/>
      <c r="O153" s="178"/>
      <c r="P153" s="178"/>
      <c r="Q153" s="178"/>
      <c r="R153" s="178"/>
      <c r="S153" s="178"/>
      <c r="T153" s="178"/>
      <c r="U153" s="178"/>
      <c r="V153" s="178"/>
      <c r="W153" s="178"/>
      <c r="X153" s="178"/>
      <c r="Y153" s="178"/>
      <c r="Z153" s="178"/>
      <c r="AA153" s="178"/>
      <c r="AB153" s="178"/>
      <c r="AC153" s="178"/>
      <c r="AD153" s="178"/>
      <c r="AE153" s="178"/>
      <c r="AF153" s="178"/>
      <c r="AG153" s="178"/>
      <c r="AH153" s="178"/>
      <c r="AI153" s="178"/>
      <c r="AJ153" s="178"/>
      <c r="AK153" s="178"/>
      <c r="AL153" s="178"/>
      <c r="AM153" s="178"/>
      <c r="AN153" s="178"/>
      <c r="AO153" s="178"/>
      <c r="AP153" s="178"/>
      <c r="AQ153" s="178"/>
      <c r="AR153" s="178"/>
      <c r="AS153" s="178"/>
      <c r="AT153" s="178"/>
      <c r="AU153" s="178"/>
      <c r="AV153" s="178"/>
      <c r="AW153" s="178"/>
      <c r="AX153" s="178"/>
      <c r="AY153" s="178"/>
      <c r="AZ153" s="178"/>
      <c r="BA153" s="178"/>
      <c r="BB153" s="178"/>
      <c r="BC153" s="178"/>
      <c r="BD153" s="178"/>
      <c r="BE153" s="178"/>
      <c r="BF153" s="178"/>
      <c r="BG153" s="178"/>
      <c r="BH153" s="178"/>
      <c r="BI153" s="178"/>
      <c r="BJ153" s="178"/>
      <c r="BK153" s="178"/>
      <c r="BL153" s="178"/>
      <c r="BM153" s="178"/>
      <c r="BN153" s="178"/>
      <c r="BO153" s="178"/>
      <c r="BP153" s="178"/>
      <c r="BQ153" s="178"/>
      <c r="BR153" s="178"/>
      <c r="BS153" s="178"/>
      <c r="BT153" s="178"/>
      <c r="BU153" s="178"/>
    </row>
    <row r="154" spans="2:73" ht="15" customHeight="1" x14ac:dyDescent="0.25">
      <c r="B154" s="178"/>
      <c r="C154" s="179"/>
      <c r="D154" s="178"/>
      <c r="E154" s="178"/>
      <c r="F154" s="178"/>
      <c r="G154" s="178"/>
      <c r="H154" s="178"/>
      <c r="I154" s="178"/>
      <c r="J154" s="178"/>
      <c r="K154" s="178"/>
      <c r="L154" s="178"/>
      <c r="M154" s="178"/>
      <c r="N154" s="178"/>
      <c r="O154" s="178"/>
      <c r="P154" s="178"/>
      <c r="Q154" s="178"/>
      <c r="R154" s="178"/>
      <c r="S154" s="178"/>
      <c r="T154" s="178"/>
      <c r="U154" s="178"/>
      <c r="V154" s="178"/>
      <c r="W154" s="178"/>
      <c r="X154" s="178"/>
      <c r="Y154" s="178"/>
      <c r="Z154" s="178"/>
      <c r="AA154" s="178"/>
      <c r="AB154" s="178"/>
      <c r="AC154" s="178"/>
      <c r="AD154" s="178"/>
      <c r="AE154" s="178"/>
      <c r="AF154" s="178"/>
      <c r="AG154" s="178"/>
      <c r="AH154" s="178"/>
      <c r="AI154" s="178"/>
      <c r="AJ154" s="178"/>
      <c r="AK154" s="178"/>
      <c r="AL154" s="178"/>
      <c r="AM154" s="178"/>
      <c r="AN154" s="178"/>
      <c r="AO154" s="178"/>
      <c r="AP154" s="178"/>
      <c r="AQ154" s="178"/>
      <c r="AR154" s="178"/>
      <c r="AS154" s="178"/>
      <c r="AT154" s="178"/>
      <c r="AU154" s="178"/>
      <c r="AV154" s="178"/>
      <c r="AW154" s="178"/>
      <c r="AX154" s="178"/>
      <c r="AY154" s="178"/>
      <c r="AZ154" s="178"/>
      <c r="BA154" s="178"/>
      <c r="BB154" s="178"/>
      <c r="BC154" s="178"/>
      <c r="BD154" s="178"/>
      <c r="BE154" s="178"/>
      <c r="BF154" s="178"/>
      <c r="BG154" s="178"/>
      <c r="BH154" s="178"/>
      <c r="BI154" s="178"/>
      <c r="BJ154" s="178"/>
      <c r="BK154" s="178"/>
      <c r="BL154" s="178"/>
      <c r="BM154" s="178"/>
      <c r="BN154" s="178"/>
      <c r="BO154" s="178"/>
      <c r="BP154" s="178"/>
      <c r="BQ154" s="178"/>
      <c r="BR154" s="178"/>
      <c r="BS154" s="178"/>
      <c r="BT154" s="178"/>
      <c r="BU154" s="178"/>
    </row>
    <row r="155" spans="2:73" ht="15" customHeight="1" x14ac:dyDescent="0.25">
      <c r="B155" s="178"/>
      <c r="C155" s="179"/>
      <c r="D155" s="178"/>
      <c r="E155" s="178"/>
      <c r="F155" s="178"/>
      <c r="G155" s="178"/>
      <c r="H155" s="178"/>
      <c r="I155" s="178"/>
      <c r="J155" s="178"/>
      <c r="K155" s="178"/>
      <c r="L155" s="178"/>
      <c r="M155" s="178"/>
      <c r="N155" s="178"/>
      <c r="O155" s="178"/>
      <c r="P155" s="178"/>
      <c r="Q155" s="178"/>
      <c r="R155" s="178"/>
      <c r="S155" s="178"/>
      <c r="T155" s="178"/>
      <c r="U155" s="178"/>
      <c r="V155" s="178"/>
      <c r="W155" s="178"/>
      <c r="X155" s="178"/>
      <c r="Y155" s="178"/>
      <c r="Z155" s="178"/>
      <c r="AA155" s="178"/>
      <c r="AB155" s="178"/>
      <c r="AC155" s="178"/>
      <c r="AD155" s="178"/>
      <c r="AE155" s="178"/>
      <c r="AF155" s="178"/>
      <c r="AG155" s="178"/>
      <c r="AH155" s="178"/>
      <c r="AI155" s="178"/>
      <c r="AJ155" s="178"/>
      <c r="AK155" s="178"/>
      <c r="AL155" s="178"/>
      <c r="AM155" s="178"/>
      <c r="AN155" s="178"/>
      <c r="AO155" s="178"/>
      <c r="AP155" s="178"/>
      <c r="AQ155" s="178"/>
      <c r="AR155" s="178"/>
      <c r="AS155" s="178"/>
      <c r="AT155" s="178"/>
      <c r="AU155" s="178"/>
      <c r="AV155" s="178"/>
      <c r="AW155" s="178"/>
      <c r="AX155" s="178"/>
      <c r="AY155" s="178"/>
      <c r="AZ155" s="178"/>
      <c r="BA155" s="178"/>
      <c r="BB155" s="178"/>
      <c r="BC155" s="178"/>
      <c r="BD155" s="178"/>
      <c r="BE155" s="178"/>
      <c r="BF155" s="178"/>
      <c r="BG155" s="178"/>
      <c r="BH155" s="178"/>
      <c r="BI155" s="178"/>
      <c r="BJ155" s="178"/>
      <c r="BK155" s="178"/>
      <c r="BL155" s="178"/>
      <c r="BM155" s="178"/>
      <c r="BN155" s="178"/>
      <c r="BO155" s="178"/>
      <c r="BP155" s="178"/>
      <c r="BQ155" s="178"/>
      <c r="BR155" s="178"/>
      <c r="BS155" s="178"/>
      <c r="BT155" s="178"/>
      <c r="BU155" s="178"/>
    </row>
    <row r="156" spans="2:73" ht="15" customHeight="1" x14ac:dyDescent="0.25">
      <c r="B156" s="178"/>
      <c r="C156" s="179"/>
      <c r="D156" s="178"/>
      <c r="E156" s="178"/>
      <c r="F156" s="178"/>
      <c r="G156" s="178"/>
      <c r="H156" s="178"/>
      <c r="I156" s="178"/>
      <c r="J156" s="178"/>
      <c r="K156" s="178"/>
      <c r="L156" s="178"/>
      <c r="M156" s="178"/>
      <c r="N156" s="178"/>
      <c r="O156" s="178"/>
      <c r="P156" s="178"/>
      <c r="Q156" s="178"/>
      <c r="R156" s="178"/>
      <c r="S156" s="178"/>
      <c r="T156" s="178"/>
      <c r="U156" s="178"/>
      <c r="V156" s="178"/>
      <c r="W156" s="178"/>
      <c r="X156" s="178"/>
      <c r="Y156" s="178"/>
      <c r="Z156" s="178"/>
      <c r="AA156" s="178"/>
      <c r="AB156" s="178"/>
      <c r="AC156" s="178"/>
      <c r="AD156" s="178"/>
      <c r="AE156" s="178"/>
      <c r="AF156" s="178"/>
      <c r="AG156" s="178"/>
      <c r="AH156" s="178"/>
      <c r="AI156" s="178"/>
      <c r="AJ156" s="178"/>
      <c r="AK156" s="178"/>
      <c r="AL156" s="178"/>
      <c r="AM156" s="178"/>
      <c r="AN156" s="178"/>
      <c r="AO156" s="178"/>
      <c r="AP156" s="178"/>
      <c r="AQ156" s="178"/>
      <c r="AR156" s="178"/>
      <c r="AS156" s="178"/>
      <c r="AT156" s="178"/>
      <c r="AU156" s="178"/>
      <c r="AV156" s="178"/>
      <c r="AW156" s="178"/>
      <c r="AX156" s="178"/>
      <c r="AY156" s="178"/>
      <c r="AZ156" s="178"/>
      <c r="BA156" s="178"/>
      <c r="BB156" s="178"/>
      <c r="BC156" s="178"/>
      <c r="BD156" s="178"/>
      <c r="BE156" s="178"/>
      <c r="BF156" s="178"/>
      <c r="BG156" s="178"/>
      <c r="BH156" s="178"/>
      <c r="BI156" s="178"/>
      <c r="BJ156" s="178"/>
      <c r="BK156" s="178"/>
      <c r="BL156" s="178"/>
      <c r="BM156" s="178"/>
      <c r="BN156" s="178"/>
      <c r="BO156" s="178"/>
      <c r="BP156" s="178"/>
      <c r="BQ156" s="178"/>
      <c r="BR156" s="178"/>
      <c r="BS156" s="178"/>
      <c r="BT156" s="178"/>
      <c r="BU156" s="178"/>
    </row>
    <row r="157" spans="2:73" ht="15" customHeight="1" x14ac:dyDescent="0.25">
      <c r="B157" s="178"/>
      <c r="C157" s="179"/>
      <c r="D157" s="178"/>
      <c r="E157" s="178"/>
      <c r="F157" s="178"/>
      <c r="G157" s="178"/>
      <c r="H157" s="178"/>
      <c r="I157" s="178"/>
      <c r="J157" s="178"/>
      <c r="K157" s="178"/>
      <c r="L157" s="178"/>
      <c r="M157" s="178"/>
      <c r="N157" s="178"/>
      <c r="O157" s="178"/>
      <c r="P157" s="178"/>
      <c r="Q157" s="178"/>
      <c r="R157" s="178"/>
      <c r="S157" s="178"/>
      <c r="T157" s="178"/>
      <c r="U157" s="178"/>
      <c r="V157" s="178"/>
      <c r="W157" s="178"/>
      <c r="X157" s="178"/>
      <c r="Y157" s="178"/>
      <c r="Z157" s="178"/>
      <c r="AA157" s="178"/>
      <c r="AB157" s="178"/>
      <c r="AC157" s="178"/>
      <c r="AD157" s="178"/>
      <c r="AE157" s="178"/>
      <c r="AF157" s="178"/>
      <c r="AG157" s="178"/>
      <c r="AH157" s="178"/>
      <c r="AI157" s="178"/>
      <c r="AJ157" s="178"/>
      <c r="AK157" s="178"/>
      <c r="AL157" s="178"/>
      <c r="AM157" s="178"/>
      <c r="AN157" s="178"/>
      <c r="AO157" s="178"/>
      <c r="AP157" s="178"/>
      <c r="AQ157" s="178"/>
      <c r="AR157" s="178"/>
      <c r="AS157" s="178"/>
      <c r="AT157" s="178"/>
      <c r="AU157" s="178"/>
      <c r="AV157" s="178"/>
      <c r="AW157" s="178"/>
      <c r="AX157" s="178"/>
      <c r="AY157" s="178"/>
      <c r="AZ157" s="178"/>
      <c r="BA157" s="178"/>
      <c r="BB157" s="178"/>
      <c r="BC157" s="178"/>
      <c r="BD157" s="178"/>
      <c r="BE157" s="178"/>
      <c r="BF157" s="178"/>
      <c r="BG157" s="178"/>
      <c r="BH157" s="178"/>
      <c r="BI157" s="178"/>
      <c r="BJ157" s="178"/>
      <c r="BK157" s="178"/>
      <c r="BL157" s="178"/>
      <c r="BM157" s="178"/>
      <c r="BN157" s="178"/>
      <c r="BO157" s="178"/>
      <c r="BP157" s="178"/>
      <c r="BQ157" s="178"/>
      <c r="BR157" s="178"/>
      <c r="BS157" s="178"/>
      <c r="BT157" s="178"/>
      <c r="BU157" s="178"/>
    </row>
    <row r="158" spans="2:73" ht="15" customHeight="1" x14ac:dyDescent="0.25">
      <c r="B158" s="178"/>
      <c r="C158" s="179"/>
      <c r="D158" s="178"/>
      <c r="E158" s="178"/>
      <c r="F158" s="178"/>
      <c r="G158" s="178"/>
      <c r="H158" s="178"/>
      <c r="I158" s="178"/>
      <c r="J158" s="178"/>
      <c r="K158" s="178"/>
      <c r="L158" s="178"/>
      <c r="M158" s="178"/>
      <c r="N158" s="178"/>
      <c r="O158" s="178"/>
      <c r="P158" s="178"/>
      <c r="Q158" s="178"/>
      <c r="R158" s="178"/>
      <c r="S158" s="178"/>
      <c r="T158" s="178"/>
      <c r="U158" s="178"/>
      <c r="V158" s="178"/>
      <c r="W158" s="178"/>
      <c r="X158" s="178"/>
      <c r="Y158" s="178"/>
      <c r="Z158" s="178"/>
      <c r="AA158" s="178"/>
      <c r="AB158" s="178"/>
      <c r="AC158" s="178"/>
      <c r="AD158" s="178"/>
      <c r="AE158" s="178"/>
      <c r="AF158" s="178"/>
      <c r="AG158" s="178"/>
      <c r="AH158" s="178"/>
      <c r="AI158" s="178"/>
      <c r="AJ158" s="178"/>
      <c r="AK158" s="178"/>
      <c r="AL158" s="178"/>
      <c r="AM158" s="178"/>
      <c r="AN158" s="178"/>
      <c r="AO158" s="178"/>
      <c r="AP158" s="178"/>
      <c r="AQ158" s="178"/>
      <c r="AR158" s="178"/>
      <c r="AS158" s="178"/>
      <c r="AT158" s="178"/>
      <c r="AU158" s="178"/>
      <c r="AV158" s="178"/>
      <c r="AW158" s="178"/>
      <c r="AX158" s="178"/>
      <c r="AY158" s="178"/>
      <c r="AZ158" s="178"/>
      <c r="BA158" s="178"/>
      <c r="BB158" s="178"/>
      <c r="BC158" s="178"/>
      <c r="BD158" s="178"/>
      <c r="BE158" s="178"/>
      <c r="BF158" s="178"/>
      <c r="BG158" s="178"/>
      <c r="BH158" s="178"/>
      <c r="BI158" s="178"/>
      <c r="BJ158" s="178"/>
      <c r="BK158" s="178"/>
      <c r="BL158" s="178"/>
      <c r="BM158" s="178"/>
      <c r="BN158" s="178"/>
      <c r="BO158" s="178"/>
      <c r="BP158" s="178"/>
      <c r="BQ158" s="178"/>
      <c r="BR158" s="178"/>
      <c r="BS158" s="178"/>
      <c r="BT158" s="178"/>
      <c r="BU158" s="178"/>
    </row>
    <row r="159" spans="2:73" ht="15" customHeight="1" x14ac:dyDescent="0.25">
      <c r="B159" s="178"/>
      <c r="C159" s="179"/>
      <c r="D159" s="178"/>
      <c r="E159" s="178"/>
      <c r="F159" s="178"/>
      <c r="G159" s="178"/>
      <c r="H159" s="178"/>
      <c r="I159" s="178"/>
      <c r="J159" s="178"/>
      <c r="K159" s="178"/>
      <c r="L159" s="178"/>
      <c r="M159" s="178"/>
      <c r="N159" s="178"/>
      <c r="O159" s="178"/>
      <c r="P159" s="178"/>
      <c r="Q159" s="178"/>
      <c r="R159" s="178"/>
      <c r="S159" s="178"/>
      <c r="T159" s="178"/>
      <c r="U159" s="178"/>
      <c r="V159" s="178"/>
      <c r="W159" s="178"/>
      <c r="X159" s="178"/>
      <c r="Y159" s="178"/>
      <c r="Z159" s="178"/>
      <c r="AA159" s="178"/>
      <c r="AB159" s="178"/>
      <c r="AC159" s="178"/>
      <c r="AD159" s="178"/>
      <c r="AE159" s="178"/>
      <c r="AF159" s="178"/>
      <c r="AG159" s="178"/>
      <c r="AH159" s="178"/>
      <c r="AI159" s="178"/>
      <c r="AJ159" s="178"/>
      <c r="AK159" s="178"/>
      <c r="AL159" s="178"/>
      <c r="AM159" s="178"/>
      <c r="AN159" s="178"/>
      <c r="AO159" s="178"/>
      <c r="AP159" s="178"/>
      <c r="AQ159" s="178"/>
      <c r="AR159" s="178"/>
      <c r="AS159" s="178"/>
      <c r="AT159" s="178"/>
      <c r="AU159" s="178"/>
      <c r="AV159" s="178"/>
      <c r="AW159" s="178"/>
      <c r="AX159" s="178"/>
      <c r="AY159" s="178"/>
      <c r="AZ159" s="178"/>
      <c r="BA159" s="178"/>
      <c r="BB159" s="178"/>
      <c r="BC159" s="178"/>
      <c r="BD159" s="178"/>
      <c r="BE159" s="178"/>
      <c r="BF159" s="178"/>
      <c r="BG159" s="178"/>
      <c r="BH159" s="178"/>
      <c r="BI159" s="178"/>
      <c r="BJ159" s="178"/>
      <c r="BK159" s="178"/>
      <c r="BL159" s="178"/>
      <c r="BM159" s="178"/>
      <c r="BN159" s="178"/>
      <c r="BO159" s="178"/>
      <c r="BP159" s="178"/>
      <c r="BQ159" s="178"/>
      <c r="BR159" s="178"/>
      <c r="BS159" s="178"/>
      <c r="BT159" s="178"/>
      <c r="BU159" s="178"/>
    </row>
    <row r="160" spans="2:73" ht="15" customHeight="1" x14ac:dyDescent="0.25">
      <c r="B160" s="178"/>
      <c r="C160" s="179"/>
      <c r="D160" s="178"/>
      <c r="E160" s="178"/>
      <c r="F160" s="178"/>
      <c r="G160" s="178"/>
      <c r="H160" s="178"/>
      <c r="I160" s="178"/>
      <c r="J160" s="178"/>
      <c r="K160" s="178"/>
      <c r="L160" s="178"/>
      <c r="M160" s="178"/>
      <c r="N160" s="178"/>
      <c r="O160" s="178"/>
      <c r="P160" s="178"/>
      <c r="Q160" s="178"/>
      <c r="R160" s="178"/>
      <c r="S160" s="178"/>
      <c r="T160" s="178"/>
      <c r="U160" s="178"/>
      <c r="V160" s="178"/>
      <c r="W160" s="178"/>
      <c r="X160" s="178"/>
      <c r="Y160" s="178"/>
      <c r="Z160" s="178"/>
      <c r="AA160" s="178"/>
      <c r="AB160" s="178"/>
      <c r="AC160" s="178"/>
      <c r="AD160" s="178"/>
      <c r="AE160" s="178"/>
      <c r="AF160" s="178"/>
      <c r="AG160" s="178"/>
      <c r="AH160" s="178"/>
      <c r="AI160" s="178"/>
      <c r="AJ160" s="178"/>
      <c r="AK160" s="178"/>
      <c r="AL160" s="178"/>
      <c r="AM160" s="178"/>
      <c r="AN160" s="178"/>
      <c r="AO160" s="178"/>
      <c r="AP160" s="178"/>
      <c r="AQ160" s="178"/>
      <c r="AR160" s="178"/>
      <c r="AS160" s="178"/>
      <c r="AT160" s="178"/>
      <c r="AU160" s="178"/>
      <c r="AV160" s="178"/>
      <c r="AW160" s="178"/>
      <c r="AX160" s="178"/>
      <c r="AY160" s="178"/>
      <c r="AZ160" s="178"/>
      <c r="BA160" s="178"/>
      <c r="BB160" s="178"/>
      <c r="BC160" s="178"/>
      <c r="BD160" s="178"/>
      <c r="BE160" s="178"/>
      <c r="BF160" s="178"/>
      <c r="BG160" s="178"/>
      <c r="BH160" s="178"/>
      <c r="BI160" s="178"/>
      <c r="BJ160" s="178"/>
      <c r="BK160" s="178"/>
      <c r="BL160" s="178"/>
      <c r="BM160" s="178"/>
      <c r="BN160" s="178"/>
      <c r="BO160" s="178"/>
      <c r="BP160" s="178"/>
      <c r="BQ160" s="178"/>
      <c r="BR160" s="178"/>
      <c r="BS160" s="178"/>
      <c r="BT160" s="178"/>
      <c r="BU160" s="178"/>
    </row>
    <row r="161" spans="2:73" ht="15" customHeight="1" x14ac:dyDescent="0.25">
      <c r="B161" s="178"/>
      <c r="C161" s="179"/>
      <c r="D161" s="178"/>
      <c r="E161" s="178"/>
      <c r="F161" s="178"/>
      <c r="G161" s="178"/>
      <c r="H161" s="178"/>
      <c r="I161" s="178"/>
      <c r="J161" s="178"/>
      <c r="K161" s="178"/>
      <c r="L161" s="178"/>
      <c r="M161" s="178"/>
      <c r="N161" s="178"/>
      <c r="O161" s="178"/>
      <c r="P161" s="178"/>
      <c r="Q161" s="178"/>
      <c r="R161" s="178"/>
      <c r="S161" s="178"/>
      <c r="T161" s="178"/>
      <c r="U161" s="178"/>
      <c r="V161" s="178"/>
      <c r="W161" s="178"/>
      <c r="X161" s="178"/>
      <c r="Y161" s="178"/>
      <c r="Z161" s="178"/>
      <c r="AA161" s="178"/>
      <c r="AB161" s="178"/>
      <c r="AC161" s="178"/>
      <c r="AD161" s="178"/>
      <c r="AE161" s="178"/>
      <c r="AF161" s="178"/>
      <c r="AG161" s="178"/>
      <c r="AH161" s="178"/>
      <c r="AI161" s="178"/>
      <c r="AJ161" s="178"/>
      <c r="AK161" s="178"/>
      <c r="AL161" s="178"/>
      <c r="AM161" s="178"/>
      <c r="AN161" s="178"/>
      <c r="AO161" s="178"/>
      <c r="AP161" s="178"/>
      <c r="AQ161" s="178"/>
      <c r="AR161" s="178"/>
      <c r="AS161" s="178"/>
      <c r="AT161" s="178"/>
      <c r="AU161" s="178"/>
      <c r="AV161" s="178"/>
      <c r="AW161" s="178"/>
      <c r="AX161" s="178"/>
      <c r="AY161" s="178"/>
      <c r="AZ161" s="178"/>
      <c r="BA161" s="178"/>
      <c r="BB161" s="178"/>
      <c r="BC161" s="178"/>
      <c r="BD161" s="178"/>
      <c r="BE161" s="178"/>
      <c r="BF161" s="178"/>
      <c r="BG161" s="178"/>
      <c r="BH161" s="178"/>
      <c r="BI161" s="178"/>
      <c r="BJ161" s="178"/>
      <c r="BK161" s="178"/>
      <c r="BL161" s="178"/>
      <c r="BM161" s="178"/>
      <c r="BN161" s="178"/>
      <c r="BO161" s="178"/>
      <c r="BP161" s="178"/>
      <c r="BQ161" s="178"/>
      <c r="BR161" s="178"/>
      <c r="BS161" s="178"/>
      <c r="BT161" s="178"/>
      <c r="BU161" s="178"/>
    </row>
    <row r="162" spans="2:73" ht="15" customHeight="1" x14ac:dyDescent="0.25">
      <c r="B162" s="178"/>
      <c r="C162" s="179"/>
      <c r="D162" s="178"/>
      <c r="E162" s="178"/>
      <c r="F162" s="178"/>
      <c r="G162" s="178"/>
      <c r="H162" s="178"/>
      <c r="I162" s="178"/>
      <c r="J162" s="178"/>
      <c r="K162" s="178"/>
      <c r="L162" s="178"/>
      <c r="M162" s="178"/>
      <c r="N162" s="178"/>
      <c r="O162" s="178"/>
      <c r="P162" s="178"/>
      <c r="Q162" s="178"/>
      <c r="R162" s="178"/>
      <c r="S162" s="178"/>
      <c r="T162" s="178"/>
      <c r="U162" s="178"/>
      <c r="V162" s="178"/>
      <c r="W162" s="178"/>
      <c r="X162" s="178"/>
      <c r="Y162" s="178"/>
      <c r="Z162" s="178"/>
      <c r="AA162" s="178"/>
      <c r="AB162" s="178"/>
      <c r="AC162" s="178"/>
      <c r="AD162" s="178"/>
      <c r="AE162" s="178"/>
      <c r="AF162" s="178"/>
      <c r="AG162" s="178"/>
      <c r="AH162" s="178"/>
      <c r="AI162" s="178"/>
      <c r="AJ162" s="178"/>
      <c r="AK162" s="178"/>
      <c r="AL162" s="178"/>
      <c r="AM162" s="178"/>
      <c r="AN162" s="178"/>
      <c r="AO162" s="178"/>
      <c r="AP162" s="178"/>
      <c r="AQ162" s="178"/>
      <c r="AR162" s="178"/>
      <c r="AS162" s="178"/>
      <c r="AT162" s="178"/>
      <c r="AU162" s="178"/>
      <c r="AV162" s="178"/>
      <c r="AW162" s="178"/>
      <c r="AX162" s="178"/>
      <c r="AY162" s="178"/>
      <c r="AZ162" s="178"/>
      <c r="BA162" s="178"/>
      <c r="BB162" s="178"/>
      <c r="BC162" s="178"/>
      <c r="BD162" s="178"/>
      <c r="BE162" s="178"/>
      <c r="BF162" s="178"/>
      <c r="BG162" s="178"/>
      <c r="BH162" s="178"/>
      <c r="BI162" s="178"/>
      <c r="BJ162" s="178"/>
      <c r="BK162" s="178"/>
      <c r="BL162" s="178"/>
      <c r="BM162" s="178"/>
      <c r="BN162" s="178"/>
      <c r="BO162" s="178"/>
      <c r="BP162" s="178"/>
      <c r="BQ162" s="178"/>
      <c r="BR162" s="178"/>
      <c r="BS162" s="178"/>
      <c r="BT162" s="178"/>
      <c r="BU162" s="178"/>
    </row>
    <row r="163" spans="2:73" ht="15" customHeight="1" x14ac:dyDescent="0.25">
      <c r="B163" s="178"/>
      <c r="C163" s="179"/>
      <c r="D163" s="178"/>
      <c r="E163" s="178"/>
      <c r="F163" s="178"/>
      <c r="G163" s="178"/>
      <c r="H163" s="178"/>
      <c r="I163" s="178"/>
      <c r="J163" s="178"/>
      <c r="K163" s="178"/>
      <c r="L163" s="178"/>
      <c r="M163" s="178"/>
      <c r="N163" s="178"/>
      <c r="O163" s="178"/>
      <c r="P163" s="178"/>
      <c r="Q163" s="178"/>
      <c r="R163" s="178"/>
      <c r="S163" s="178"/>
      <c r="T163" s="178"/>
      <c r="U163" s="178"/>
      <c r="V163" s="178"/>
      <c r="W163" s="178"/>
      <c r="X163" s="178"/>
      <c r="Y163" s="178"/>
      <c r="Z163" s="178"/>
      <c r="AA163" s="178"/>
      <c r="AB163" s="178"/>
      <c r="AC163" s="178"/>
      <c r="AD163" s="178"/>
      <c r="AE163" s="178"/>
      <c r="AF163" s="178"/>
      <c r="AG163" s="178"/>
      <c r="AH163" s="178"/>
      <c r="AI163" s="178"/>
      <c r="AJ163" s="178"/>
      <c r="AK163" s="178"/>
      <c r="AL163" s="178"/>
      <c r="AM163" s="178"/>
      <c r="AN163" s="178"/>
      <c r="AO163" s="178"/>
      <c r="AP163" s="178"/>
      <c r="AQ163" s="178"/>
      <c r="AR163" s="178"/>
      <c r="AS163" s="178"/>
      <c r="AT163" s="178"/>
      <c r="AU163" s="178"/>
      <c r="AV163" s="178"/>
      <c r="AW163" s="178"/>
      <c r="AX163" s="178"/>
      <c r="AY163" s="178"/>
      <c r="AZ163" s="178"/>
      <c r="BA163" s="178"/>
      <c r="BB163" s="178"/>
      <c r="BC163" s="178"/>
      <c r="BD163" s="178"/>
      <c r="BE163" s="178"/>
      <c r="BF163" s="178"/>
      <c r="BG163" s="178"/>
      <c r="BH163" s="178"/>
      <c r="BI163" s="178"/>
      <c r="BJ163" s="178"/>
      <c r="BK163" s="178"/>
      <c r="BL163" s="178"/>
      <c r="BM163" s="178"/>
      <c r="BN163" s="178"/>
      <c r="BO163" s="178"/>
      <c r="BP163" s="178"/>
      <c r="BQ163" s="178"/>
      <c r="BR163" s="178"/>
      <c r="BS163" s="178"/>
      <c r="BT163" s="178"/>
      <c r="BU163" s="178"/>
    </row>
    <row r="164" spans="2:73" ht="15" customHeight="1" x14ac:dyDescent="0.25">
      <c r="B164" s="178"/>
      <c r="C164" s="179"/>
      <c r="D164" s="178"/>
      <c r="E164" s="178"/>
      <c r="F164" s="178"/>
      <c r="G164" s="178"/>
      <c r="H164" s="178"/>
      <c r="I164" s="178"/>
      <c r="J164" s="178"/>
      <c r="K164" s="178"/>
      <c r="L164" s="178"/>
      <c r="M164" s="178"/>
      <c r="N164" s="178"/>
      <c r="O164" s="178"/>
      <c r="P164" s="178"/>
      <c r="Q164" s="178"/>
      <c r="R164" s="178"/>
      <c r="S164" s="178"/>
      <c r="T164" s="178"/>
      <c r="U164" s="178"/>
      <c r="V164" s="178"/>
      <c r="W164" s="178"/>
      <c r="X164" s="178"/>
      <c r="Y164" s="178"/>
      <c r="Z164" s="178"/>
      <c r="AA164" s="178"/>
      <c r="AB164" s="178"/>
      <c r="AC164" s="178"/>
      <c r="AD164" s="178"/>
      <c r="AE164" s="178"/>
      <c r="AF164" s="178"/>
      <c r="AG164" s="178"/>
      <c r="AH164" s="178"/>
      <c r="AI164" s="178"/>
      <c r="AJ164" s="178"/>
      <c r="AK164" s="178"/>
      <c r="AL164" s="178"/>
      <c r="AM164" s="178"/>
      <c r="AN164" s="178"/>
      <c r="AO164" s="178"/>
      <c r="AP164" s="178"/>
      <c r="AQ164" s="178"/>
      <c r="AR164" s="178"/>
      <c r="AS164" s="178"/>
      <c r="AT164" s="178"/>
      <c r="AU164" s="178"/>
      <c r="AV164" s="178"/>
      <c r="AW164" s="178"/>
      <c r="AX164" s="178"/>
      <c r="AY164" s="178"/>
      <c r="AZ164" s="178"/>
      <c r="BA164" s="178"/>
      <c r="BB164" s="178"/>
      <c r="BC164" s="178"/>
      <c r="BD164" s="178"/>
      <c r="BE164" s="178"/>
      <c r="BF164" s="178"/>
      <c r="BG164" s="178"/>
      <c r="BH164" s="178"/>
      <c r="BI164" s="178"/>
      <c r="BJ164" s="178"/>
      <c r="BK164" s="178"/>
      <c r="BL164" s="178"/>
      <c r="BM164" s="178"/>
      <c r="BN164" s="178"/>
      <c r="BO164" s="178"/>
      <c r="BP164" s="178"/>
      <c r="BQ164" s="178"/>
      <c r="BR164" s="178"/>
      <c r="BS164" s="178"/>
      <c r="BT164" s="178"/>
      <c r="BU164" s="178"/>
    </row>
    <row r="165" spans="2:73" ht="15" customHeight="1" x14ac:dyDescent="0.25">
      <c r="B165" s="178"/>
      <c r="C165" s="179"/>
      <c r="D165" s="178"/>
      <c r="E165" s="178"/>
      <c r="F165" s="178"/>
      <c r="G165" s="178"/>
      <c r="H165" s="178"/>
      <c r="I165" s="178"/>
      <c r="J165" s="178"/>
      <c r="K165" s="178"/>
      <c r="L165" s="178"/>
      <c r="M165" s="178"/>
      <c r="N165" s="178"/>
      <c r="O165" s="178"/>
      <c r="P165" s="178"/>
      <c r="Q165" s="178"/>
      <c r="R165" s="178"/>
      <c r="S165" s="178"/>
      <c r="T165" s="178"/>
      <c r="U165" s="178"/>
      <c r="V165" s="178"/>
      <c r="W165" s="178"/>
      <c r="X165" s="178"/>
      <c r="Y165" s="178"/>
      <c r="Z165" s="178"/>
      <c r="AA165" s="178"/>
      <c r="AB165" s="178"/>
      <c r="AC165" s="178"/>
      <c r="AD165" s="178"/>
      <c r="AE165" s="178"/>
      <c r="AF165" s="178"/>
      <c r="AG165" s="178"/>
      <c r="AH165" s="178"/>
      <c r="AI165" s="178"/>
      <c r="AJ165" s="178"/>
      <c r="AK165" s="178"/>
      <c r="AL165" s="178"/>
      <c r="AM165" s="178"/>
      <c r="AN165" s="178"/>
      <c r="AO165" s="178"/>
      <c r="AP165" s="178"/>
      <c r="AQ165" s="178"/>
      <c r="AR165" s="178"/>
      <c r="AS165" s="178"/>
      <c r="AT165" s="178"/>
      <c r="AU165" s="178"/>
      <c r="AV165" s="178"/>
      <c r="AW165" s="178"/>
      <c r="AX165" s="178"/>
      <c r="AY165" s="178"/>
      <c r="AZ165" s="178"/>
      <c r="BA165" s="178"/>
      <c r="BB165" s="178"/>
      <c r="BC165" s="178"/>
      <c r="BD165" s="178"/>
      <c r="BE165" s="178"/>
      <c r="BF165" s="178"/>
      <c r="BG165" s="178"/>
      <c r="BH165" s="178"/>
      <c r="BI165" s="178"/>
      <c r="BJ165" s="178"/>
      <c r="BK165" s="178"/>
      <c r="BL165" s="178"/>
      <c r="BM165" s="178"/>
      <c r="BN165" s="178"/>
      <c r="BO165" s="178"/>
      <c r="BP165" s="178"/>
      <c r="BQ165" s="178"/>
      <c r="BR165" s="178"/>
      <c r="BS165" s="178"/>
      <c r="BT165" s="178"/>
      <c r="BU165" s="178"/>
    </row>
    <row r="166" spans="2:73" ht="15" customHeight="1" x14ac:dyDescent="0.25">
      <c r="B166" s="178"/>
      <c r="C166" s="179"/>
      <c r="D166" s="178"/>
      <c r="E166" s="178"/>
      <c r="F166" s="178"/>
      <c r="G166" s="178"/>
      <c r="H166" s="178"/>
      <c r="I166" s="178"/>
      <c r="J166" s="178"/>
      <c r="K166" s="178"/>
      <c r="L166" s="178"/>
      <c r="M166" s="178"/>
      <c r="N166" s="178"/>
      <c r="O166" s="178"/>
      <c r="P166" s="178"/>
      <c r="Q166" s="178"/>
      <c r="R166" s="178"/>
      <c r="S166" s="178"/>
      <c r="T166" s="178"/>
      <c r="U166" s="178"/>
      <c r="V166" s="178"/>
      <c r="W166" s="178"/>
      <c r="X166" s="178"/>
      <c r="Y166" s="178"/>
      <c r="Z166" s="178"/>
      <c r="AA166" s="178"/>
      <c r="AB166" s="178"/>
      <c r="AC166" s="178"/>
      <c r="AD166" s="178"/>
      <c r="AE166" s="178"/>
      <c r="AF166" s="178"/>
      <c r="AG166" s="178"/>
      <c r="AH166" s="178"/>
      <c r="AI166" s="178"/>
      <c r="AJ166" s="178"/>
      <c r="AK166" s="178"/>
      <c r="AL166" s="178"/>
      <c r="AM166" s="178"/>
      <c r="AN166" s="178"/>
      <c r="AO166" s="178"/>
      <c r="AP166" s="178"/>
      <c r="AQ166" s="178"/>
      <c r="AR166" s="178"/>
      <c r="AS166" s="178"/>
      <c r="AT166" s="178"/>
      <c r="AU166" s="178"/>
      <c r="AV166" s="178"/>
      <c r="AW166" s="178"/>
      <c r="AX166" s="178"/>
      <c r="AY166" s="178"/>
      <c r="AZ166" s="178"/>
      <c r="BA166" s="178"/>
      <c r="BB166" s="178"/>
      <c r="BC166" s="178"/>
      <c r="BD166" s="178"/>
      <c r="BE166" s="178"/>
      <c r="BF166" s="178"/>
      <c r="BG166" s="178"/>
      <c r="BH166" s="178"/>
      <c r="BI166" s="178"/>
      <c r="BJ166" s="178"/>
      <c r="BK166" s="178"/>
      <c r="BL166" s="178"/>
      <c r="BM166" s="178"/>
      <c r="BN166" s="178"/>
      <c r="BO166" s="178"/>
      <c r="BP166" s="178"/>
      <c r="BQ166" s="178"/>
      <c r="BR166" s="178"/>
      <c r="BS166" s="178"/>
      <c r="BT166" s="178"/>
      <c r="BU166" s="178"/>
    </row>
    <row r="167" spans="2:73" ht="15" customHeight="1" x14ac:dyDescent="0.25">
      <c r="B167" s="178"/>
      <c r="C167" s="179"/>
      <c r="D167" s="178"/>
      <c r="E167" s="178"/>
      <c r="F167" s="178"/>
      <c r="G167" s="178"/>
      <c r="H167" s="178"/>
      <c r="I167" s="178"/>
      <c r="J167" s="178"/>
      <c r="K167" s="178"/>
      <c r="L167" s="178"/>
      <c r="M167" s="178"/>
      <c r="N167" s="178"/>
      <c r="O167" s="178"/>
      <c r="P167" s="178"/>
      <c r="Q167" s="178"/>
      <c r="R167" s="178"/>
      <c r="S167" s="178"/>
      <c r="T167" s="178"/>
      <c r="U167" s="178"/>
      <c r="V167" s="178"/>
      <c r="W167" s="178"/>
      <c r="X167" s="178"/>
      <c r="Y167" s="178"/>
      <c r="Z167" s="178"/>
      <c r="AA167" s="178"/>
      <c r="AB167" s="178"/>
      <c r="AC167" s="178"/>
      <c r="AD167" s="178"/>
      <c r="AE167" s="178"/>
      <c r="AF167" s="178"/>
      <c r="AG167" s="178"/>
      <c r="AH167" s="178"/>
      <c r="AI167" s="178"/>
      <c r="AJ167" s="178"/>
      <c r="AK167" s="178"/>
      <c r="AL167" s="178"/>
      <c r="AM167" s="178"/>
      <c r="AN167" s="178"/>
      <c r="AO167" s="178"/>
      <c r="AP167" s="178"/>
      <c r="AQ167" s="178"/>
      <c r="AR167" s="178"/>
      <c r="AS167" s="178"/>
      <c r="AT167" s="178"/>
      <c r="AU167" s="178"/>
      <c r="AV167" s="178"/>
      <c r="AW167" s="178"/>
      <c r="AX167" s="178"/>
      <c r="AY167" s="178"/>
      <c r="AZ167" s="178"/>
      <c r="BA167" s="178"/>
      <c r="BB167" s="178"/>
      <c r="BC167" s="178"/>
      <c r="BD167" s="178"/>
      <c r="BE167" s="178"/>
      <c r="BF167" s="178"/>
      <c r="BG167" s="178"/>
      <c r="BH167" s="178"/>
      <c r="BI167" s="178"/>
      <c r="BJ167" s="178"/>
      <c r="BK167" s="178"/>
      <c r="BL167" s="178"/>
      <c r="BM167" s="178"/>
      <c r="BN167" s="178"/>
      <c r="BO167" s="178"/>
      <c r="BP167" s="178"/>
      <c r="BQ167" s="178"/>
      <c r="BR167" s="178"/>
      <c r="BS167" s="178"/>
      <c r="BT167" s="178"/>
      <c r="BU167" s="178"/>
    </row>
    <row r="168" spans="2:73" ht="15" customHeight="1" x14ac:dyDescent="0.25">
      <c r="B168" s="178"/>
      <c r="C168" s="179"/>
      <c r="D168" s="178"/>
      <c r="E168" s="178"/>
      <c r="F168" s="178"/>
      <c r="G168" s="178"/>
      <c r="H168" s="178"/>
      <c r="I168" s="178"/>
      <c r="J168" s="178"/>
      <c r="K168" s="178"/>
      <c r="L168" s="178"/>
      <c r="M168" s="178"/>
      <c r="N168" s="178"/>
      <c r="O168" s="178"/>
      <c r="P168" s="178"/>
      <c r="Q168" s="178"/>
      <c r="R168" s="178"/>
      <c r="S168" s="178"/>
      <c r="T168" s="178"/>
      <c r="U168" s="178"/>
      <c r="V168" s="178"/>
      <c r="W168" s="178"/>
      <c r="X168" s="178"/>
      <c r="Y168" s="178"/>
      <c r="Z168" s="178"/>
      <c r="AA168" s="178"/>
      <c r="AB168" s="178"/>
      <c r="AC168" s="178"/>
      <c r="AD168" s="178"/>
      <c r="AE168" s="178"/>
      <c r="AF168" s="178"/>
      <c r="AG168" s="178"/>
      <c r="AH168" s="178"/>
      <c r="AI168" s="178"/>
      <c r="AJ168" s="178"/>
      <c r="AK168" s="178"/>
      <c r="AL168" s="178"/>
      <c r="AM168" s="178"/>
      <c r="AN168" s="178"/>
      <c r="AO168" s="178"/>
      <c r="AP168" s="178"/>
      <c r="AQ168" s="178"/>
      <c r="AR168" s="178"/>
      <c r="AS168" s="178"/>
      <c r="AT168" s="178"/>
      <c r="AU168" s="178"/>
      <c r="AV168" s="178"/>
      <c r="AW168" s="178"/>
      <c r="AX168" s="178"/>
      <c r="AY168" s="178"/>
      <c r="AZ168" s="178"/>
      <c r="BA168" s="178"/>
      <c r="BB168" s="178"/>
      <c r="BC168" s="178"/>
      <c r="BD168" s="178"/>
      <c r="BE168" s="178"/>
      <c r="BF168" s="178"/>
      <c r="BG168" s="178"/>
      <c r="BH168" s="178"/>
      <c r="BI168" s="178"/>
      <c r="BJ168" s="178"/>
      <c r="BK168" s="178"/>
      <c r="BL168" s="178"/>
      <c r="BM168" s="178"/>
      <c r="BN168" s="178"/>
      <c r="BO168" s="178"/>
      <c r="BP168" s="178"/>
      <c r="BQ168" s="178"/>
      <c r="BR168" s="178"/>
      <c r="BS168" s="178"/>
      <c r="BT168" s="178"/>
      <c r="BU168" s="178"/>
    </row>
    <row r="169" spans="2:73" ht="15" customHeight="1" x14ac:dyDescent="0.25">
      <c r="B169" s="178"/>
      <c r="C169" s="179"/>
      <c r="D169" s="178"/>
      <c r="E169" s="178"/>
      <c r="F169" s="178"/>
      <c r="G169" s="178"/>
      <c r="H169" s="178"/>
      <c r="I169" s="178"/>
      <c r="J169" s="178"/>
      <c r="K169" s="178"/>
      <c r="L169" s="178"/>
      <c r="M169" s="178"/>
      <c r="N169" s="178"/>
      <c r="O169" s="178"/>
      <c r="P169" s="178"/>
      <c r="Q169" s="178"/>
      <c r="R169" s="178"/>
      <c r="S169" s="178"/>
      <c r="T169" s="178"/>
      <c r="U169" s="178"/>
      <c r="V169" s="178"/>
      <c r="W169" s="178"/>
      <c r="X169" s="178"/>
      <c r="Y169" s="178"/>
      <c r="Z169" s="178"/>
      <c r="AA169" s="178"/>
      <c r="AB169" s="178"/>
      <c r="AC169" s="178"/>
      <c r="AD169" s="178"/>
      <c r="AE169" s="178"/>
      <c r="AF169" s="178"/>
      <c r="AG169" s="178"/>
      <c r="AH169" s="178"/>
      <c r="AI169" s="178"/>
      <c r="AJ169" s="178"/>
      <c r="AK169" s="178"/>
      <c r="AL169" s="178"/>
      <c r="AM169" s="178"/>
      <c r="AN169" s="178"/>
      <c r="AO169" s="178"/>
      <c r="AP169" s="178"/>
      <c r="AQ169" s="178"/>
      <c r="AR169" s="178"/>
      <c r="AS169" s="178"/>
      <c r="AT169" s="178"/>
      <c r="AU169" s="178"/>
      <c r="AV169" s="178"/>
      <c r="AW169" s="178"/>
      <c r="AX169" s="178"/>
      <c r="AY169" s="178"/>
      <c r="AZ169" s="178"/>
      <c r="BA169" s="178"/>
      <c r="BB169" s="178"/>
      <c r="BC169" s="178"/>
      <c r="BD169" s="178"/>
      <c r="BE169" s="178"/>
      <c r="BF169" s="178"/>
      <c r="BG169" s="178"/>
      <c r="BH169" s="178"/>
      <c r="BI169" s="178"/>
      <c r="BJ169" s="178"/>
      <c r="BK169" s="178"/>
      <c r="BL169" s="178"/>
      <c r="BM169" s="178"/>
      <c r="BN169" s="178"/>
      <c r="BO169" s="178"/>
      <c r="BP169" s="178"/>
      <c r="BQ169" s="178"/>
      <c r="BR169" s="178"/>
      <c r="BS169" s="178"/>
      <c r="BT169" s="178"/>
      <c r="BU169" s="178"/>
    </row>
    <row r="170" spans="2:73" ht="15" customHeight="1" x14ac:dyDescent="0.25">
      <c r="B170" s="178"/>
      <c r="C170" s="179"/>
      <c r="D170" s="178"/>
      <c r="E170" s="178"/>
      <c r="F170" s="178"/>
      <c r="G170" s="178"/>
      <c r="H170" s="178"/>
      <c r="I170" s="178"/>
      <c r="J170" s="178"/>
      <c r="K170" s="178"/>
      <c r="L170" s="178"/>
      <c r="M170" s="178"/>
      <c r="N170" s="178"/>
      <c r="O170" s="178"/>
      <c r="P170" s="178"/>
      <c r="Q170" s="178"/>
      <c r="R170" s="178"/>
      <c r="S170" s="178"/>
      <c r="T170" s="178"/>
      <c r="U170" s="178"/>
      <c r="V170" s="178"/>
      <c r="W170" s="178"/>
      <c r="X170" s="178"/>
      <c r="Y170" s="178"/>
      <c r="Z170" s="178"/>
      <c r="AA170" s="178"/>
      <c r="AB170" s="178"/>
      <c r="AC170" s="178"/>
      <c r="AD170" s="178"/>
      <c r="AE170" s="178"/>
      <c r="AF170" s="178"/>
      <c r="AG170" s="178"/>
      <c r="AH170" s="178"/>
      <c r="AI170" s="178"/>
      <c r="AJ170" s="178"/>
      <c r="AK170" s="178"/>
      <c r="AL170" s="178"/>
      <c r="AM170" s="178"/>
      <c r="AN170" s="178"/>
      <c r="AO170" s="178"/>
      <c r="AP170" s="178"/>
      <c r="AQ170" s="178"/>
      <c r="AR170" s="178"/>
      <c r="AS170" s="178"/>
      <c r="AT170" s="178"/>
      <c r="AU170" s="178"/>
      <c r="AV170" s="178"/>
      <c r="AW170" s="178"/>
      <c r="AX170" s="178"/>
      <c r="AY170" s="178"/>
      <c r="AZ170" s="178"/>
      <c r="BA170" s="178"/>
      <c r="BB170" s="178"/>
      <c r="BC170" s="178"/>
      <c r="BD170" s="178"/>
      <c r="BE170" s="178"/>
      <c r="BF170" s="178"/>
      <c r="BG170" s="178"/>
      <c r="BH170" s="178"/>
      <c r="BI170" s="178"/>
      <c r="BJ170" s="178"/>
      <c r="BK170" s="178"/>
      <c r="BL170" s="178"/>
      <c r="BM170" s="178"/>
      <c r="BN170" s="178"/>
      <c r="BO170" s="178"/>
      <c r="BP170" s="178"/>
      <c r="BQ170" s="178"/>
      <c r="BR170" s="178"/>
      <c r="BS170" s="178"/>
      <c r="BT170" s="178"/>
      <c r="BU170" s="178"/>
    </row>
    <row r="171" spans="2:73" ht="15" customHeight="1" x14ac:dyDescent="0.25">
      <c r="B171" s="178"/>
      <c r="C171" s="179"/>
      <c r="D171" s="178"/>
      <c r="E171" s="178"/>
      <c r="F171" s="178"/>
      <c r="G171" s="178"/>
      <c r="H171" s="178"/>
      <c r="I171" s="178"/>
      <c r="J171" s="178"/>
      <c r="K171" s="178"/>
      <c r="L171" s="178"/>
      <c r="M171" s="178"/>
      <c r="N171" s="178"/>
      <c r="O171" s="178"/>
      <c r="P171" s="178"/>
      <c r="Q171" s="178"/>
      <c r="R171" s="178"/>
      <c r="S171" s="178"/>
      <c r="T171" s="178"/>
      <c r="U171" s="178"/>
      <c r="V171" s="178"/>
      <c r="W171" s="178"/>
      <c r="X171" s="178"/>
      <c r="Y171" s="178"/>
      <c r="Z171" s="178"/>
      <c r="AA171" s="178"/>
      <c r="AB171" s="178"/>
      <c r="AC171" s="178"/>
      <c r="AD171" s="178"/>
      <c r="AE171" s="178"/>
      <c r="AF171" s="178"/>
      <c r="AG171" s="178"/>
      <c r="AH171" s="178"/>
      <c r="AI171" s="178"/>
      <c r="AJ171" s="178"/>
      <c r="AK171" s="178"/>
      <c r="AL171" s="178"/>
      <c r="AM171" s="178"/>
      <c r="AN171" s="178"/>
      <c r="AO171" s="178"/>
      <c r="AP171" s="178"/>
      <c r="AQ171" s="178"/>
      <c r="AR171" s="178"/>
      <c r="AS171" s="178"/>
      <c r="AT171" s="178"/>
      <c r="AU171" s="178"/>
      <c r="AV171" s="178"/>
      <c r="AW171" s="178"/>
      <c r="AX171" s="178"/>
      <c r="AY171" s="178"/>
      <c r="AZ171" s="178"/>
      <c r="BA171" s="178"/>
      <c r="BB171" s="178"/>
      <c r="BC171" s="178"/>
      <c r="BD171" s="178"/>
      <c r="BE171" s="178"/>
      <c r="BF171" s="178"/>
      <c r="BG171" s="178"/>
      <c r="BH171" s="178"/>
      <c r="BI171" s="178"/>
      <c r="BJ171" s="178"/>
      <c r="BK171" s="178"/>
      <c r="BL171" s="178"/>
      <c r="BM171" s="178"/>
      <c r="BN171" s="178"/>
      <c r="BO171" s="178"/>
      <c r="BP171" s="178"/>
      <c r="BQ171" s="178"/>
      <c r="BR171" s="178"/>
      <c r="BS171" s="178"/>
      <c r="BT171" s="178"/>
      <c r="BU171" s="178"/>
    </row>
    <row r="172" spans="2:73" ht="15" customHeight="1" x14ac:dyDescent="0.25">
      <c r="B172" s="178"/>
      <c r="C172" s="179"/>
      <c r="D172" s="178"/>
      <c r="E172" s="178"/>
      <c r="F172" s="178"/>
      <c r="G172" s="178"/>
      <c r="H172" s="178"/>
      <c r="I172" s="178"/>
      <c r="J172" s="178"/>
      <c r="K172" s="178"/>
      <c r="L172" s="178"/>
      <c r="M172" s="178"/>
      <c r="N172" s="178"/>
      <c r="O172" s="178"/>
      <c r="P172" s="178"/>
      <c r="Q172" s="178"/>
      <c r="R172" s="178"/>
      <c r="S172" s="178"/>
      <c r="T172" s="178"/>
      <c r="U172" s="178"/>
      <c r="V172" s="178"/>
      <c r="W172" s="178"/>
      <c r="X172" s="178"/>
      <c r="Y172" s="178"/>
      <c r="Z172" s="178"/>
      <c r="AA172" s="178"/>
      <c r="AB172" s="178"/>
      <c r="AC172" s="178"/>
      <c r="AD172" s="178"/>
      <c r="AE172" s="178"/>
      <c r="AF172" s="178"/>
      <c r="AG172" s="178"/>
      <c r="AH172" s="178"/>
      <c r="AI172" s="178"/>
      <c r="AJ172" s="178"/>
      <c r="AK172" s="178"/>
      <c r="AL172" s="178"/>
      <c r="AM172" s="178"/>
      <c r="AN172" s="178"/>
      <c r="AO172" s="178"/>
      <c r="AP172" s="178"/>
      <c r="AQ172" s="178"/>
      <c r="AR172" s="178"/>
      <c r="AS172" s="178"/>
      <c r="AT172" s="178"/>
      <c r="AU172" s="178"/>
      <c r="AV172" s="178"/>
      <c r="AW172" s="178"/>
      <c r="AX172" s="178"/>
      <c r="AY172" s="178"/>
      <c r="AZ172" s="178"/>
      <c r="BA172" s="178"/>
      <c r="BB172" s="178"/>
      <c r="BC172" s="178"/>
      <c r="BD172" s="178"/>
      <c r="BE172" s="178"/>
      <c r="BF172" s="178"/>
      <c r="BG172" s="178"/>
      <c r="BH172" s="178"/>
      <c r="BI172" s="178"/>
      <c r="BJ172" s="178"/>
      <c r="BK172" s="178"/>
      <c r="BL172" s="178"/>
      <c r="BM172" s="178"/>
      <c r="BN172" s="178"/>
      <c r="BO172" s="178"/>
      <c r="BP172" s="178"/>
      <c r="BQ172" s="178"/>
      <c r="BR172" s="178"/>
      <c r="BS172" s="178"/>
      <c r="BT172" s="178"/>
      <c r="BU172" s="178"/>
    </row>
    <row r="173" spans="2:73" ht="15" customHeight="1" x14ac:dyDescent="0.25">
      <c r="B173" s="178"/>
      <c r="C173" s="179"/>
      <c r="D173" s="178"/>
      <c r="E173" s="178"/>
      <c r="F173" s="178"/>
      <c r="G173" s="178"/>
      <c r="H173" s="178"/>
      <c r="I173" s="178"/>
      <c r="J173" s="178"/>
      <c r="K173" s="178"/>
      <c r="L173" s="178"/>
      <c r="M173" s="178"/>
      <c r="N173" s="178"/>
      <c r="O173" s="178"/>
      <c r="P173" s="178"/>
      <c r="Q173" s="178"/>
      <c r="R173" s="178"/>
      <c r="S173" s="178"/>
      <c r="T173" s="178"/>
      <c r="U173" s="178"/>
      <c r="V173" s="178"/>
      <c r="W173" s="178"/>
      <c r="X173" s="178"/>
      <c r="Y173" s="178"/>
      <c r="Z173" s="178"/>
      <c r="AA173" s="178"/>
      <c r="AB173" s="178"/>
      <c r="AC173" s="178"/>
      <c r="AD173" s="178"/>
      <c r="AE173" s="178"/>
      <c r="AF173" s="178"/>
      <c r="AG173" s="178"/>
      <c r="AH173" s="178"/>
      <c r="AI173" s="178"/>
      <c r="AJ173" s="178"/>
      <c r="AK173" s="178"/>
      <c r="AL173" s="178"/>
      <c r="AM173" s="178"/>
      <c r="AN173" s="178"/>
      <c r="AO173" s="178"/>
      <c r="AP173" s="178"/>
      <c r="AQ173" s="178"/>
      <c r="AR173" s="178"/>
      <c r="AS173" s="178"/>
      <c r="AT173" s="178"/>
      <c r="AU173" s="178"/>
      <c r="AV173" s="178"/>
      <c r="AW173" s="178"/>
      <c r="AX173" s="178"/>
      <c r="AY173" s="178"/>
      <c r="AZ173" s="178"/>
      <c r="BA173" s="178"/>
      <c r="BB173" s="178"/>
      <c r="BC173" s="178"/>
      <c r="BD173" s="178"/>
      <c r="BE173" s="178"/>
      <c r="BF173" s="178"/>
      <c r="BG173" s="178"/>
      <c r="BH173" s="178"/>
      <c r="BI173" s="178"/>
      <c r="BJ173" s="178"/>
      <c r="BK173" s="178"/>
      <c r="BL173" s="178"/>
      <c r="BM173" s="178"/>
      <c r="BN173" s="178"/>
      <c r="BO173" s="178"/>
      <c r="BP173" s="178"/>
      <c r="BQ173" s="178"/>
      <c r="BR173" s="178"/>
      <c r="BS173" s="178"/>
      <c r="BT173" s="178"/>
      <c r="BU173" s="178"/>
    </row>
    <row r="174" spans="2:73" ht="15" customHeight="1" x14ac:dyDescent="0.25">
      <c r="B174" s="178"/>
      <c r="C174" s="179"/>
      <c r="D174" s="178"/>
      <c r="E174" s="178"/>
      <c r="F174" s="178"/>
      <c r="G174" s="178"/>
      <c r="H174" s="178"/>
      <c r="I174" s="178"/>
      <c r="J174" s="178"/>
      <c r="K174" s="178"/>
      <c r="L174" s="178"/>
      <c r="M174" s="178"/>
      <c r="N174" s="178"/>
      <c r="O174" s="178"/>
      <c r="P174" s="178"/>
      <c r="Q174" s="178"/>
      <c r="R174" s="178"/>
      <c r="S174" s="178"/>
      <c r="T174" s="178"/>
      <c r="U174" s="178"/>
      <c r="V174" s="178"/>
      <c r="W174" s="178"/>
      <c r="X174" s="178"/>
      <c r="Y174" s="178"/>
      <c r="Z174" s="178"/>
      <c r="AA174" s="178"/>
      <c r="AB174" s="178"/>
      <c r="AC174" s="178"/>
      <c r="AD174" s="178"/>
      <c r="AE174" s="178"/>
      <c r="AF174" s="178"/>
      <c r="AG174" s="178"/>
      <c r="AH174" s="178"/>
      <c r="AI174" s="178"/>
      <c r="AJ174" s="178"/>
      <c r="AK174" s="178"/>
      <c r="AL174" s="178"/>
      <c r="AM174" s="178"/>
      <c r="AN174" s="178"/>
      <c r="AO174" s="178"/>
      <c r="AP174" s="178"/>
      <c r="AQ174" s="178"/>
      <c r="AR174" s="178"/>
      <c r="AS174" s="178"/>
      <c r="AT174" s="178"/>
      <c r="AU174" s="178"/>
      <c r="AV174" s="178"/>
      <c r="AW174" s="178"/>
      <c r="AX174" s="178"/>
      <c r="AY174" s="178"/>
      <c r="AZ174" s="178"/>
      <c r="BA174" s="178"/>
      <c r="BB174" s="178"/>
      <c r="BC174" s="178"/>
      <c r="BD174" s="178"/>
      <c r="BE174" s="178"/>
      <c r="BF174" s="178"/>
      <c r="BG174" s="178"/>
      <c r="BH174" s="178"/>
      <c r="BI174" s="178"/>
      <c r="BJ174" s="178"/>
      <c r="BK174" s="178"/>
      <c r="BL174" s="178"/>
      <c r="BM174" s="178"/>
      <c r="BN174" s="178"/>
      <c r="BO174" s="178"/>
      <c r="BP174" s="178"/>
      <c r="BQ174" s="178"/>
      <c r="BR174" s="178"/>
      <c r="BS174" s="178"/>
      <c r="BT174" s="178"/>
      <c r="BU174" s="178"/>
    </row>
    <row r="175" spans="2:73" ht="15" customHeight="1" x14ac:dyDescent="0.25">
      <c r="B175" s="178"/>
      <c r="C175" s="179"/>
      <c r="D175" s="178"/>
      <c r="E175" s="178"/>
      <c r="F175" s="178"/>
      <c r="G175" s="178"/>
      <c r="H175" s="178"/>
      <c r="I175" s="178"/>
      <c r="J175" s="178"/>
      <c r="K175" s="178"/>
      <c r="L175" s="178"/>
      <c r="M175" s="178"/>
      <c r="N175" s="178"/>
      <c r="O175" s="178"/>
      <c r="P175" s="178"/>
      <c r="Q175" s="178"/>
      <c r="R175" s="178"/>
      <c r="S175" s="178"/>
      <c r="T175" s="178"/>
      <c r="U175" s="178"/>
      <c r="V175" s="178"/>
      <c r="W175" s="178"/>
      <c r="X175" s="178"/>
      <c r="Y175" s="178"/>
      <c r="Z175" s="178"/>
      <c r="AA175" s="178"/>
      <c r="AB175" s="178"/>
      <c r="AC175" s="178"/>
      <c r="AD175" s="178"/>
      <c r="AE175" s="178"/>
      <c r="AF175" s="178"/>
      <c r="AG175" s="178"/>
      <c r="AH175" s="178"/>
      <c r="AI175" s="178"/>
      <c r="AJ175" s="178"/>
      <c r="AK175" s="178"/>
      <c r="AL175" s="178"/>
      <c r="AM175" s="178"/>
      <c r="AN175" s="178"/>
      <c r="AO175" s="178"/>
      <c r="AP175" s="178"/>
      <c r="AQ175" s="178"/>
      <c r="AR175" s="178"/>
      <c r="AS175" s="178"/>
      <c r="AT175" s="178"/>
      <c r="AU175" s="178"/>
      <c r="AV175" s="178"/>
      <c r="AW175" s="178"/>
      <c r="AX175" s="178"/>
      <c r="AY175" s="178"/>
      <c r="AZ175" s="178"/>
      <c r="BA175" s="178"/>
      <c r="BB175" s="178"/>
      <c r="BC175" s="178"/>
      <c r="BD175" s="178"/>
      <c r="BE175" s="178"/>
      <c r="BF175" s="178"/>
      <c r="BG175" s="178"/>
      <c r="BH175" s="178"/>
      <c r="BI175" s="178"/>
      <c r="BJ175" s="178"/>
      <c r="BK175" s="178"/>
      <c r="BL175" s="178"/>
      <c r="BM175" s="178"/>
      <c r="BN175" s="178"/>
      <c r="BO175" s="178"/>
      <c r="BP175" s="178"/>
      <c r="BQ175" s="178"/>
      <c r="BR175" s="178"/>
      <c r="BS175" s="178"/>
      <c r="BT175" s="178"/>
      <c r="BU175" s="178"/>
    </row>
    <row r="176" spans="2:73" ht="15" customHeight="1" x14ac:dyDescent="0.25">
      <c r="B176" s="178"/>
      <c r="C176" s="179"/>
      <c r="D176" s="178"/>
      <c r="E176" s="178"/>
      <c r="F176" s="178"/>
      <c r="G176" s="178"/>
      <c r="H176" s="178"/>
      <c r="I176" s="178"/>
      <c r="J176" s="178"/>
      <c r="K176" s="178"/>
      <c r="L176" s="178"/>
      <c r="M176" s="178"/>
      <c r="N176" s="178"/>
      <c r="O176" s="178"/>
      <c r="P176" s="178"/>
      <c r="Q176" s="178"/>
      <c r="R176" s="178"/>
      <c r="S176" s="178"/>
      <c r="T176" s="178"/>
      <c r="U176" s="178"/>
      <c r="V176" s="178"/>
      <c r="W176" s="178"/>
      <c r="X176" s="178"/>
      <c r="Y176" s="178"/>
      <c r="Z176" s="178"/>
      <c r="AA176" s="178"/>
      <c r="AB176" s="178"/>
      <c r="AC176" s="178"/>
      <c r="AD176" s="178"/>
      <c r="AE176" s="178"/>
      <c r="AF176" s="178"/>
      <c r="AG176" s="178"/>
      <c r="AH176" s="178"/>
      <c r="AI176" s="178"/>
      <c r="AJ176" s="178"/>
      <c r="AK176" s="178"/>
      <c r="AL176" s="178"/>
      <c r="AM176" s="178"/>
      <c r="AN176" s="178"/>
      <c r="AO176" s="178"/>
      <c r="AP176" s="178"/>
      <c r="AQ176" s="178"/>
      <c r="AR176" s="178"/>
      <c r="AS176" s="178"/>
      <c r="AT176" s="178"/>
      <c r="AU176" s="178"/>
      <c r="AV176" s="178"/>
      <c r="AW176" s="178"/>
      <c r="AX176" s="178"/>
      <c r="AY176" s="178"/>
      <c r="AZ176" s="178"/>
      <c r="BA176" s="178"/>
      <c r="BB176" s="178"/>
      <c r="BC176" s="178"/>
      <c r="BD176" s="178"/>
      <c r="BE176" s="178"/>
      <c r="BF176" s="178"/>
      <c r="BG176" s="178"/>
      <c r="BH176" s="178"/>
      <c r="BI176" s="178"/>
      <c r="BJ176" s="178"/>
      <c r="BK176" s="178"/>
      <c r="BL176" s="178"/>
      <c r="BM176" s="178"/>
      <c r="BN176" s="178"/>
      <c r="BO176" s="178"/>
      <c r="BP176" s="178"/>
      <c r="BQ176" s="178"/>
      <c r="BR176" s="178"/>
      <c r="BS176" s="178"/>
      <c r="BT176" s="178"/>
      <c r="BU176" s="178"/>
    </row>
    <row r="177" spans="2:73" ht="15" customHeight="1" x14ac:dyDescent="0.25">
      <c r="B177" s="178"/>
      <c r="C177" s="179"/>
      <c r="D177" s="178"/>
      <c r="E177" s="178"/>
      <c r="F177" s="178"/>
      <c r="G177" s="178"/>
      <c r="H177" s="178"/>
      <c r="I177" s="178"/>
      <c r="J177" s="178"/>
      <c r="K177" s="178"/>
      <c r="L177" s="178"/>
      <c r="M177" s="178"/>
      <c r="N177" s="178"/>
      <c r="O177" s="178"/>
      <c r="P177" s="178"/>
      <c r="Q177" s="178"/>
      <c r="R177" s="178"/>
      <c r="S177" s="178"/>
      <c r="T177" s="178"/>
      <c r="U177" s="178"/>
      <c r="V177" s="178"/>
      <c r="W177" s="178"/>
      <c r="X177" s="178"/>
      <c r="Y177" s="178"/>
      <c r="Z177" s="178"/>
      <c r="AA177" s="178"/>
      <c r="AB177" s="178"/>
      <c r="AC177" s="178"/>
      <c r="AD177" s="178"/>
      <c r="AE177" s="178"/>
      <c r="AF177" s="178"/>
      <c r="AG177" s="178"/>
      <c r="AH177" s="178"/>
      <c r="AI177" s="178"/>
      <c r="AJ177" s="178"/>
      <c r="AK177" s="178"/>
      <c r="AL177" s="178"/>
      <c r="AM177" s="178"/>
      <c r="AN177" s="178"/>
      <c r="AO177" s="178"/>
      <c r="AP177" s="178"/>
      <c r="AQ177" s="178"/>
      <c r="AR177" s="178"/>
      <c r="AS177" s="178"/>
      <c r="AT177" s="178"/>
      <c r="AU177" s="178"/>
      <c r="AV177" s="178"/>
      <c r="AW177" s="178"/>
      <c r="AX177" s="178"/>
      <c r="AY177" s="178"/>
      <c r="AZ177" s="178"/>
      <c r="BA177" s="178"/>
      <c r="BB177" s="178"/>
      <c r="BC177" s="178"/>
      <c r="BD177" s="178"/>
      <c r="BE177" s="178"/>
      <c r="BF177" s="178"/>
      <c r="BG177" s="178"/>
      <c r="BH177" s="178"/>
      <c r="BI177" s="178"/>
      <c r="BJ177" s="178"/>
      <c r="BK177" s="178"/>
      <c r="BL177" s="178"/>
      <c r="BM177" s="178"/>
      <c r="BN177" s="178"/>
      <c r="BO177" s="178"/>
      <c r="BP177" s="178"/>
      <c r="BQ177" s="178"/>
      <c r="BR177" s="178"/>
      <c r="BS177" s="178"/>
      <c r="BT177" s="178"/>
      <c r="BU177" s="178"/>
    </row>
    <row r="178" spans="2:73" ht="15" customHeight="1" x14ac:dyDescent="0.25">
      <c r="B178" s="178"/>
      <c r="C178" s="179"/>
      <c r="D178" s="178"/>
      <c r="E178" s="178"/>
      <c r="F178" s="178"/>
      <c r="G178" s="178"/>
      <c r="H178" s="178"/>
      <c r="I178" s="178"/>
      <c r="J178" s="178"/>
      <c r="K178" s="178"/>
      <c r="L178" s="178"/>
      <c r="M178" s="178"/>
      <c r="N178" s="178"/>
      <c r="O178" s="178"/>
      <c r="P178" s="178"/>
      <c r="Q178" s="178"/>
      <c r="R178" s="178"/>
      <c r="S178" s="178"/>
      <c r="T178" s="178"/>
      <c r="U178" s="178"/>
      <c r="V178" s="178"/>
      <c r="W178" s="178"/>
      <c r="X178" s="178"/>
      <c r="Y178" s="178"/>
      <c r="Z178" s="178"/>
      <c r="AA178" s="178"/>
      <c r="AB178" s="178"/>
      <c r="AC178" s="178"/>
      <c r="AD178" s="178"/>
      <c r="AE178" s="178"/>
      <c r="AF178" s="178"/>
      <c r="AG178" s="178"/>
      <c r="AH178" s="178"/>
      <c r="AI178" s="178"/>
      <c r="AJ178" s="178"/>
      <c r="AK178" s="178"/>
      <c r="AL178" s="178"/>
      <c r="AM178" s="178"/>
      <c r="AN178" s="178"/>
      <c r="AO178" s="178"/>
      <c r="AP178" s="178"/>
      <c r="AQ178" s="178"/>
      <c r="AR178" s="178"/>
      <c r="AS178" s="178"/>
      <c r="AT178" s="178"/>
      <c r="AU178" s="178"/>
      <c r="AV178" s="178"/>
      <c r="AW178" s="178"/>
      <c r="AX178" s="178"/>
      <c r="AY178" s="178"/>
      <c r="AZ178" s="178"/>
      <c r="BA178" s="178"/>
      <c r="BB178" s="178"/>
      <c r="BC178" s="178"/>
      <c r="BD178" s="178"/>
      <c r="BE178" s="178"/>
      <c r="BF178" s="178"/>
      <c r="BG178" s="178"/>
      <c r="BH178" s="178"/>
      <c r="BI178" s="178"/>
      <c r="BJ178" s="178"/>
      <c r="BK178" s="178"/>
      <c r="BL178" s="178"/>
      <c r="BM178" s="178"/>
      <c r="BN178" s="178"/>
      <c r="BO178" s="178"/>
      <c r="BP178" s="178"/>
      <c r="BQ178" s="178"/>
      <c r="BR178" s="178"/>
      <c r="BS178" s="178"/>
      <c r="BT178" s="178"/>
      <c r="BU178" s="178"/>
    </row>
    <row r="179" spans="2:73" ht="15" customHeight="1" x14ac:dyDescent="0.25">
      <c r="B179" s="178"/>
      <c r="C179" s="179"/>
      <c r="D179" s="178"/>
      <c r="E179" s="178"/>
      <c r="F179" s="178"/>
      <c r="G179" s="178"/>
      <c r="H179" s="178"/>
      <c r="I179" s="178"/>
      <c r="J179" s="178"/>
      <c r="K179" s="178"/>
      <c r="L179" s="178"/>
      <c r="M179" s="178"/>
      <c r="N179" s="178"/>
      <c r="O179" s="178"/>
      <c r="P179" s="178"/>
      <c r="Q179" s="178"/>
      <c r="R179" s="178"/>
      <c r="S179" s="178"/>
      <c r="T179" s="178"/>
      <c r="U179" s="178"/>
      <c r="V179" s="178"/>
      <c r="W179" s="178"/>
      <c r="X179" s="178"/>
      <c r="Y179" s="178"/>
      <c r="Z179" s="178"/>
      <c r="AA179" s="178"/>
      <c r="AB179" s="178"/>
      <c r="AC179" s="178"/>
      <c r="AD179" s="178"/>
      <c r="AE179" s="178"/>
      <c r="AF179" s="178"/>
      <c r="AG179" s="178"/>
      <c r="AH179" s="178"/>
      <c r="AI179" s="178"/>
      <c r="AJ179" s="178"/>
      <c r="AK179" s="178"/>
      <c r="AL179" s="178"/>
      <c r="AM179" s="178"/>
      <c r="AN179" s="178"/>
      <c r="AO179" s="178"/>
      <c r="AP179" s="178"/>
      <c r="AQ179" s="178"/>
      <c r="AR179" s="178"/>
      <c r="AS179" s="178"/>
      <c r="AT179" s="178"/>
      <c r="AU179" s="178"/>
      <c r="AV179" s="178"/>
      <c r="AW179" s="178"/>
      <c r="AX179" s="178"/>
      <c r="AY179" s="178"/>
      <c r="AZ179" s="178"/>
      <c r="BA179" s="178"/>
      <c r="BB179" s="178"/>
      <c r="BC179" s="178"/>
      <c r="BD179" s="178"/>
      <c r="BE179" s="178"/>
      <c r="BF179" s="178"/>
      <c r="BG179" s="178"/>
      <c r="BH179" s="178"/>
      <c r="BI179" s="178"/>
      <c r="BJ179" s="178"/>
      <c r="BK179" s="178"/>
      <c r="BL179" s="178"/>
      <c r="BM179" s="178"/>
      <c r="BN179" s="178"/>
      <c r="BO179" s="178"/>
      <c r="BP179" s="178"/>
      <c r="BQ179" s="178"/>
      <c r="BR179" s="178"/>
      <c r="BS179" s="178"/>
      <c r="BT179" s="178"/>
      <c r="BU179" s="178"/>
    </row>
    <row r="180" spans="2:73" ht="15" customHeight="1" x14ac:dyDescent="0.25">
      <c r="B180" s="178"/>
      <c r="C180" s="179"/>
      <c r="D180" s="178"/>
      <c r="E180" s="178"/>
      <c r="F180" s="178"/>
      <c r="G180" s="178"/>
      <c r="H180" s="178"/>
      <c r="I180" s="178"/>
      <c r="J180" s="178"/>
      <c r="K180" s="178"/>
      <c r="L180" s="178"/>
      <c r="M180" s="178"/>
      <c r="N180" s="178"/>
      <c r="O180" s="178"/>
      <c r="P180" s="178"/>
      <c r="Q180" s="178"/>
      <c r="R180" s="178"/>
      <c r="S180" s="178"/>
      <c r="T180" s="178"/>
      <c r="U180" s="178"/>
      <c r="V180" s="178"/>
      <c r="W180" s="178"/>
      <c r="X180" s="178"/>
      <c r="Y180" s="178"/>
      <c r="Z180" s="178"/>
      <c r="AA180" s="178"/>
      <c r="AB180" s="178"/>
      <c r="AC180" s="178"/>
      <c r="AD180" s="178"/>
      <c r="AE180" s="178"/>
      <c r="AF180" s="178"/>
      <c r="AG180" s="178"/>
      <c r="AH180" s="178"/>
      <c r="AI180" s="178"/>
      <c r="AJ180" s="178"/>
      <c r="AK180" s="178"/>
      <c r="AL180" s="178"/>
      <c r="AM180" s="178"/>
      <c r="AN180" s="178"/>
      <c r="AO180" s="178"/>
      <c r="AP180" s="178"/>
      <c r="AQ180" s="178"/>
      <c r="AR180" s="178"/>
      <c r="AS180" s="178"/>
      <c r="AT180" s="178"/>
      <c r="AU180" s="178"/>
      <c r="AV180" s="178"/>
      <c r="AW180" s="178"/>
      <c r="AX180" s="178"/>
      <c r="AY180" s="178"/>
      <c r="AZ180" s="178"/>
      <c r="BA180" s="178"/>
      <c r="BB180" s="178"/>
      <c r="BC180" s="178"/>
      <c r="BD180" s="178"/>
      <c r="BE180" s="178"/>
      <c r="BF180" s="178"/>
      <c r="BG180" s="178"/>
      <c r="BH180" s="178"/>
      <c r="BI180" s="178"/>
      <c r="BJ180" s="178"/>
      <c r="BK180" s="178"/>
      <c r="BL180" s="178"/>
      <c r="BM180" s="178"/>
      <c r="BN180" s="178"/>
      <c r="BO180" s="178"/>
      <c r="BP180" s="178"/>
      <c r="BQ180" s="178"/>
      <c r="BR180" s="178"/>
      <c r="BS180" s="178"/>
      <c r="BT180" s="178"/>
      <c r="BU180" s="178"/>
    </row>
    <row r="181" spans="2:73" ht="15" customHeight="1" x14ac:dyDescent="0.25">
      <c r="B181" s="178"/>
      <c r="C181" s="179"/>
      <c r="D181" s="178"/>
      <c r="E181" s="178"/>
      <c r="F181" s="178"/>
      <c r="G181" s="178"/>
      <c r="H181" s="178"/>
      <c r="I181" s="178"/>
      <c r="J181" s="178"/>
      <c r="K181" s="178"/>
      <c r="L181" s="178"/>
      <c r="M181" s="178"/>
      <c r="N181" s="178"/>
      <c r="O181" s="178"/>
      <c r="P181" s="178"/>
      <c r="Q181" s="178"/>
      <c r="R181" s="178"/>
      <c r="S181" s="178"/>
      <c r="T181" s="178"/>
      <c r="U181" s="178"/>
      <c r="V181" s="178"/>
      <c r="W181" s="178"/>
      <c r="X181" s="178"/>
      <c r="Y181" s="178"/>
      <c r="Z181" s="178"/>
      <c r="AA181" s="178"/>
      <c r="AB181" s="178"/>
      <c r="AC181" s="178"/>
      <c r="AD181" s="178"/>
      <c r="AE181" s="178"/>
      <c r="AF181" s="178"/>
      <c r="AG181" s="178"/>
      <c r="AH181" s="178"/>
      <c r="AI181" s="178"/>
      <c r="AJ181" s="178"/>
      <c r="AK181" s="178"/>
      <c r="AL181" s="178"/>
      <c r="AM181" s="178"/>
      <c r="AN181" s="178"/>
      <c r="AO181" s="178"/>
      <c r="AP181" s="178"/>
      <c r="AQ181" s="178"/>
      <c r="AR181" s="178"/>
      <c r="AS181" s="178"/>
      <c r="AT181" s="178"/>
      <c r="AU181" s="178"/>
      <c r="AV181" s="178"/>
      <c r="AW181" s="178"/>
      <c r="AX181" s="178"/>
      <c r="AY181" s="178"/>
      <c r="AZ181" s="178"/>
      <c r="BA181" s="178"/>
      <c r="BB181" s="178"/>
      <c r="BC181" s="178"/>
      <c r="BD181" s="178"/>
      <c r="BE181" s="178"/>
      <c r="BF181" s="178"/>
      <c r="BG181" s="178"/>
      <c r="BH181" s="178"/>
      <c r="BI181" s="178"/>
      <c r="BJ181" s="178"/>
      <c r="BK181" s="178"/>
      <c r="BL181" s="178"/>
      <c r="BM181" s="178"/>
      <c r="BN181" s="178"/>
      <c r="BO181" s="178"/>
      <c r="BP181" s="178"/>
      <c r="BQ181" s="178"/>
      <c r="BR181" s="178"/>
      <c r="BS181" s="178"/>
      <c r="BT181" s="178"/>
      <c r="BU181" s="178"/>
    </row>
    <row r="182" spans="2:73" ht="15" customHeight="1" x14ac:dyDescent="0.25">
      <c r="B182" s="178"/>
      <c r="C182" s="179"/>
      <c r="D182" s="178"/>
      <c r="E182" s="178"/>
      <c r="F182" s="178"/>
      <c r="G182" s="178"/>
      <c r="H182" s="178"/>
      <c r="I182" s="178"/>
      <c r="J182" s="178"/>
      <c r="K182" s="178"/>
      <c r="L182" s="178"/>
      <c r="M182" s="178"/>
      <c r="N182" s="178"/>
      <c r="O182" s="178"/>
      <c r="P182" s="178"/>
      <c r="Q182" s="178"/>
      <c r="R182" s="178"/>
      <c r="S182" s="178"/>
      <c r="T182" s="178"/>
      <c r="U182" s="178"/>
      <c r="V182" s="178"/>
      <c r="W182" s="178"/>
      <c r="X182" s="178"/>
      <c r="Y182" s="178"/>
      <c r="Z182" s="178"/>
      <c r="AA182" s="178"/>
      <c r="AB182" s="178"/>
      <c r="AC182" s="178"/>
      <c r="AD182" s="178"/>
      <c r="AE182" s="178"/>
      <c r="AF182" s="178"/>
      <c r="AG182" s="178"/>
      <c r="AH182" s="178"/>
      <c r="AI182" s="178"/>
      <c r="AJ182" s="178"/>
      <c r="AK182" s="178"/>
      <c r="AL182" s="178"/>
      <c r="AM182" s="178"/>
      <c r="AN182" s="178"/>
      <c r="AO182" s="178"/>
      <c r="AP182" s="178"/>
      <c r="AQ182" s="178"/>
      <c r="AR182" s="178"/>
      <c r="AS182" s="178"/>
      <c r="AT182" s="178"/>
      <c r="AU182" s="178"/>
      <c r="AV182" s="178"/>
      <c r="AW182" s="178"/>
      <c r="AX182" s="178"/>
      <c r="AY182" s="178"/>
      <c r="AZ182" s="178"/>
      <c r="BA182" s="178"/>
      <c r="BB182" s="178"/>
      <c r="BC182" s="178"/>
      <c r="BD182" s="178"/>
      <c r="BE182" s="178"/>
      <c r="BF182" s="178"/>
      <c r="BG182" s="178"/>
      <c r="BH182" s="178"/>
      <c r="BI182" s="178"/>
      <c r="BJ182" s="178"/>
      <c r="BK182" s="178"/>
      <c r="BL182" s="178"/>
      <c r="BM182" s="178"/>
      <c r="BN182" s="178"/>
      <c r="BO182" s="178"/>
      <c r="BP182" s="178"/>
      <c r="BQ182" s="178"/>
      <c r="BR182" s="178"/>
      <c r="BS182" s="178"/>
      <c r="BT182" s="178"/>
      <c r="BU182" s="178"/>
    </row>
    <row r="183" spans="2:73" ht="15" customHeight="1" x14ac:dyDescent="0.25">
      <c r="B183" s="178"/>
      <c r="C183" s="179"/>
      <c r="D183" s="178"/>
      <c r="E183" s="178"/>
      <c r="F183" s="178"/>
      <c r="G183" s="178"/>
      <c r="H183" s="178"/>
      <c r="I183" s="178"/>
      <c r="J183" s="178"/>
      <c r="K183" s="178"/>
      <c r="L183" s="178"/>
      <c r="M183" s="178"/>
      <c r="N183" s="178"/>
      <c r="O183" s="178"/>
      <c r="P183" s="178"/>
      <c r="Q183" s="178"/>
      <c r="R183" s="178"/>
      <c r="S183" s="178"/>
      <c r="T183" s="178"/>
      <c r="U183" s="178"/>
      <c r="V183" s="178"/>
      <c r="W183" s="178"/>
      <c r="X183" s="178"/>
      <c r="Y183" s="178"/>
      <c r="Z183" s="178"/>
      <c r="AA183" s="178"/>
      <c r="AB183" s="178"/>
      <c r="AC183" s="178"/>
      <c r="AD183" s="178"/>
      <c r="AE183" s="178"/>
      <c r="AF183" s="178"/>
      <c r="AG183" s="178"/>
      <c r="AH183" s="178"/>
      <c r="AI183" s="178"/>
      <c r="AJ183" s="178"/>
      <c r="AK183" s="178"/>
      <c r="AL183" s="178"/>
      <c r="AM183" s="178"/>
      <c r="AN183" s="178"/>
      <c r="AO183" s="178"/>
      <c r="AP183" s="178"/>
      <c r="AQ183" s="178"/>
      <c r="AR183" s="178"/>
      <c r="AS183" s="178"/>
      <c r="AT183" s="178"/>
      <c r="AU183" s="178"/>
      <c r="AV183" s="178"/>
      <c r="AW183" s="178"/>
      <c r="AX183" s="178"/>
      <c r="AY183" s="178"/>
      <c r="AZ183" s="178"/>
      <c r="BA183" s="178"/>
      <c r="BB183" s="178"/>
      <c r="BC183" s="178"/>
      <c r="BD183" s="178"/>
      <c r="BE183" s="178"/>
      <c r="BF183" s="178"/>
      <c r="BG183" s="178"/>
      <c r="BH183" s="178"/>
      <c r="BI183" s="178"/>
      <c r="BJ183" s="178"/>
      <c r="BK183" s="178"/>
      <c r="BL183" s="178"/>
      <c r="BM183" s="178"/>
      <c r="BN183" s="178"/>
      <c r="BO183" s="178"/>
      <c r="BP183" s="178"/>
      <c r="BQ183" s="178"/>
      <c r="BR183" s="178"/>
      <c r="BS183" s="178"/>
      <c r="BT183" s="178"/>
      <c r="BU183" s="178"/>
    </row>
    <row r="184" spans="2:73" ht="15" customHeight="1" x14ac:dyDescent="0.25">
      <c r="B184" s="178"/>
      <c r="C184" s="179"/>
      <c r="D184" s="178"/>
      <c r="E184" s="178"/>
      <c r="F184" s="178"/>
      <c r="G184" s="178"/>
      <c r="H184" s="178"/>
      <c r="I184" s="178"/>
      <c r="J184" s="178"/>
      <c r="K184" s="178"/>
      <c r="L184" s="178"/>
      <c r="M184" s="178"/>
      <c r="N184" s="178"/>
      <c r="O184" s="178"/>
      <c r="P184" s="178"/>
      <c r="Q184" s="178"/>
      <c r="R184" s="178"/>
      <c r="S184" s="178"/>
      <c r="T184" s="178"/>
      <c r="U184" s="178"/>
      <c r="V184" s="178"/>
      <c r="W184" s="178"/>
      <c r="X184" s="178"/>
      <c r="Y184" s="178"/>
      <c r="Z184" s="178"/>
      <c r="AA184" s="178"/>
      <c r="AB184" s="178"/>
      <c r="AC184" s="178"/>
      <c r="AD184" s="178"/>
      <c r="AE184" s="178"/>
      <c r="AF184" s="178"/>
      <c r="AG184" s="178"/>
      <c r="AH184" s="178"/>
      <c r="AI184" s="178"/>
      <c r="AJ184" s="178"/>
      <c r="AK184" s="178"/>
      <c r="AL184" s="178"/>
      <c r="AM184" s="178"/>
      <c r="AN184" s="178"/>
      <c r="AO184" s="178"/>
      <c r="AP184" s="178"/>
      <c r="AQ184" s="178"/>
      <c r="AR184" s="178"/>
      <c r="AS184" s="178"/>
      <c r="AT184" s="178"/>
      <c r="AU184" s="178"/>
      <c r="AV184" s="178"/>
      <c r="AW184" s="178"/>
      <c r="AX184" s="178"/>
      <c r="AY184" s="178"/>
      <c r="AZ184" s="178"/>
      <c r="BA184" s="178"/>
      <c r="BB184" s="178"/>
      <c r="BC184" s="178"/>
      <c r="BD184" s="178"/>
      <c r="BE184" s="178"/>
      <c r="BF184" s="178"/>
      <c r="BG184" s="178"/>
      <c r="BH184" s="178"/>
      <c r="BI184" s="178"/>
      <c r="BJ184" s="178"/>
      <c r="BK184" s="178"/>
      <c r="BL184" s="178"/>
      <c r="BM184" s="178"/>
      <c r="BN184" s="178"/>
      <c r="BO184" s="178"/>
      <c r="BP184" s="178"/>
      <c r="BQ184" s="178"/>
      <c r="BR184" s="178"/>
      <c r="BS184" s="178"/>
      <c r="BT184" s="178"/>
      <c r="BU184" s="178"/>
    </row>
    <row r="185" spans="2:73" ht="15" customHeight="1" x14ac:dyDescent="0.25">
      <c r="B185" s="178"/>
      <c r="C185" s="179"/>
      <c r="D185" s="178"/>
      <c r="E185" s="178"/>
      <c r="F185" s="178"/>
      <c r="G185" s="178"/>
      <c r="H185" s="178"/>
      <c r="I185" s="178"/>
      <c r="J185" s="178"/>
      <c r="K185" s="178"/>
      <c r="L185" s="178"/>
      <c r="M185" s="178"/>
      <c r="N185" s="178"/>
      <c r="O185" s="178"/>
      <c r="P185" s="178"/>
      <c r="Q185" s="178"/>
      <c r="R185" s="178"/>
      <c r="S185" s="178"/>
      <c r="T185" s="178"/>
      <c r="U185" s="178"/>
      <c r="V185" s="178"/>
      <c r="W185" s="178"/>
      <c r="X185" s="178"/>
      <c r="Y185" s="178"/>
      <c r="Z185" s="178"/>
      <c r="AA185" s="178"/>
      <c r="AB185" s="178"/>
      <c r="AC185" s="178"/>
      <c r="AD185" s="178"/>
      <c r="AE185" s="178"/>
      <c r="AF185" s="178"/>
      <c r="AG185" s="178"/>
      <c r="AH185" s="178"/>
      <c r="AI185" s="178"/>
      <c r="AJ185" s="178"/>
      <c r="AK185" s="178"/>
      <c r="AL185" s="178"/>
      <c r="AM185" s="178"/>
      <c r="AN185" s="178"/>
      <c r="AO185" s="178"/>
      <c r="AP185" s="178"/>
      <c r="AQ185" s="178"/>
      <c r="AR185" s="178"/>
      <c r="AS185" s="178"/>
      <c r="AT185" s="178"/>
      <c r="AU185" s="178"/>
      <c r="AV185" s="178"/>
      <c r="AW185" s="178"/>
      <c r="AX185" s="178"/>
      <c r="AY185" s="178"/>
      <c r="AZ185" s="178"/>
      <c r="BA185" s="178"/>
      <c r="BB185" s="178"/>
      <c r="BC185" s="178"/>
      <c r="BD185" s="178"/>
      <c r="BE185" s="178"/>
      <c r="BF185" s="178"/>
      <c r="BG185" s="178"/>
      <c r="BH185" s="178"/>
      <c r="BI185" s="178"/>
      <c r="BJ185" s="178"/>
      <c r="BK185" s="178"/>
      <c r="BL185" s="178"/>
      <c r="BM185" s="178"/>
      <c r="BN185" s="178"/>
      <c r="BO185" s="178"/>
      <c r="BP185" s="178"/>
      <c r="BQ185" s="178"/>
      <c r="BR185" s="178"/>
      <c r="BS185" s="178"/>
      <c r="BT185" s="178"/>
      <c r="BU185" s="178"/>
    </row>
    <row r="186" spans="2:73" ht="15" customHeight="1" x14ac:dyDescent="0.25">
      <c r="B186" s="178"/>
      <c r="C186" s="179"/>
      <c r="D186" s="178"/>
      <c r="E186" s="178"/>
      <c r="F186" s="178"/>
      <c r="G186" s="178"/>
      <c r="H186" s="178"/>
      <c r="I186" s="178"/>
      <c r="J186" s="178"/>
      <c r="K186" s="178"/>
      <c r="L186" s="178"/>
      <c r="M186" s="178"/>
      <c r="N186" s="178"/>
      <c r="O186" s="178"/>
      <c r="P186" s="178"/>
      <c r="Q186" s="178"/>
      <c r="R186" s="178"/>
      <c r="S186" s="178"/>
      <c r="T186" s="178"/>
      <c r="U186" s="178"/>
      <c r="V186" s="178"/>
      <c r="W186" s="178"/>
      <c r="X186" s="178"/>
      <c r="Y186" s="178"/>
      <c r="Z186" s="178"/>
      <c r="AA186" s="178"/>
      <c r="AB186" s="178"/>
      <c r="AC186" s="178"/>
      <c r="AD186" s="178"/>
      <c r="AE186" s="178"/>
      <c r="AF186" s="178"/>
      <c r="AG186" s="178"/>
      <c r="AH186" s="178"/>
      <c r="AI186" s="178"/>
      <c r="AJ186" s="178"/>
      <c r="AK186" s="178"/>
      <c r="AL186" s="178"/>
      <c r="AM186" s="178"/>
      <c r="AN186" s="178"/>
      <c r="AO186" s="178"/>
      <c r="AP186" s="178"/>
      <c r="AQ186" s="178"/>
      <c r="AR186" s="178"/>
      <c r="AS186" s="178"/>
      <c r="AT186" s="178"/>
      <c r="AU186" s="178"/>
      <c r="AV186" s="178"/>
      <c r="AW186" s="178"/>
      <c r="AX186" s="178"/>
      <c r="AY186" s="178"/>
      <c r="AZ186" s="178"/>
      <c r="BA186" s="178"/>
      <c r="BB186" s="178"/>
      <c r="BC186" s="178"/>
      <c r="BD186" s="178"/>
      <c r="BE186" s="178"/>
      <c r="BF186" s="178"/>
      <c r="BG186" s="178"/>
      <c r="BH186" s="178"/>
      <c r="BI186" s="178"/>
      <c r="BJ186" s="178"/>
      <c r="BK186" s="178"/>
      <c r="BL186" s="178"/>
      <c r="BM186" s="178"/>
      <c r="BN186" s="178"/>
      <c r="BO186" s="178"/>
      <c r="BP186" s="178"/>
      <c r="BQ186" s="178"/>
      <c r="BR186" s="178"/>
      <c r="BS186" s="178"/>
      <c r="BT186" s="178"/>
      <c r="BU186" s="178"/>
    </row>
    <row r="187" spans="2:73" ht="15" customHeight="1" x14ac:dyDescent="0.25">
      <c r="B187" s="178"/>
      <c r="C187" s="179"/>
      <c r="D187" s="178"/>
      <c r="E187" s="178"/>
      <c r="F187" s="178"/>
      <c r="G187" s="178"/>
      <c r="H187" s="178"/>
      <c r="I187" s="178"/>
      <c r="J187" s="178"/>
      <c r="K187" s="178"/>
      <c r="L187" s="178"/>
      <c r="M187" s="178"/>
      <c r="N187" s="178"/>
      <c r="O187" s="178"/>
      <c r="P187" s="178"/>
      <c r="Q187" s="178"/>
      <c r="R187" s="178"/>
      <c r="S187" s="178"/>
      <c r="T187" s="178"/>
      <c r="U187" s="178"/>
      <c r="V187" s="178"/>
      <c r="W187" s="178"/>
      <c r="X187" s="178"/>
      <c r="Y187" s="178"/>
      <c r="Z187" s="178"/>
      <c r="AA187" s="178"/>
      <c r="AB187" s="178"/>
      <c r="AC187" s="178"/>
      <c r="AD187" s="178"/>
      <c r="AE187" s="178"/>
      <c r="AF187" s="178"/>
      <c r="AG187" s="178"/>
      <c r="AH187" s="178"/>
      <c r="AI187" s="178"/>
      <c r="AJ187" s="178"/>
      <c r="AK187" s="178"/>
      <c r="AL187" s="178"/>
      <c r="AM187" s="178"/>
      <c r="AN187" s="178"/>
      <c r="AO187" s="178"/>
      <c r="AP187" s="178"/>
      <c r="AQ187" s="178"/>
      <c r="AR187" s="178"/>
      <c r="AS187" s="178"/>
      <c r="AT187" s="178"/>
      <c r="AU187" s="178"/>
      <c r="AV187" s="178"/>
      <c r="AW187" s="178"/>
      <c r="AX187" s="178"/>
      <c r="AY187" s="178"/>
      <c r="AZ187" s="178"/>
      <c r="BA187" s="178"/>
      <c r="BB187" s="178"/>
      <c r="BC187" s="178"/>
      <c r="BD187" s="178"/>
      <c r="BE187" s="178"/>
      <c r="BF187" s="178"/>
      <c r="BG187" s="178"/>
      <c r="BH187" s="178"/>
      <c r="BI187" s="178"/>
      <c r="BJ187" s="178"/>
      <c r="BK187" s="178"/>
      <c r="BL187" s="178"/>
      <c r="BM187" s="178"/>
      <c r="BN187" s="178"/>
      <c r="BO187" s="178"/>
      <c r="BP187" s="178"/>
      <c r="BQ187" s="178"/>
      <c r="BR187" s="178"/>
      <c r="BS187" s="178"/>
      <c r="BT187" s="178"/>
      <c r="BU187" s="178"/>
    </row>
    <row r="188" spans="2:73" ht="15" customHeight="1" x14ac:dyDescent="0.25">
      <c r="B188" s="178"/>
      <c r="C188" s="179"/>
      <c r="D188" s="178"/>
      <c r="E188" s="178"/>
      <c r="F188" s="178"/>
      <c r="G188" s="178"/>
      <c r="H188" s="178"/>
      <c r="I188" s="178"/>
      <c r="J188" s="178"/>
      <c r="K188" s="178"/>
      <c r="L188" s="178"/>
      <c r="M188" s="178"/>
      <c r="N188" s="178"/>
      <c r="O188" s="178"/>
      <c r="P188" s="178"/>
      <c r="Q188" s="178"/>
      <c r="R188" s="178"/>
      <c r="S188" s="178"/>
      <c r="T188" s="178"/>
      <c r="U188" s="178"/>
      <c r="V188" s="178"/>
      <c r="W188" s="178"/>
      <c r="X188" s="178"/>
      <c r="Y188" s="178"/>
      <c r="Z188" s="178"/>
      <c r="AA188" s="178"/>
      <c r="AB188" s="178"/>
      <c r="AC188" s="178"/>
      <c r="AD188" s="178"/>
      <c r="AE188" s="178"/>
      <c r="AF188" s="178"/>
      <c r="AG188" s="178"/>
      <c r="AH188" s="178"/>
      <c r="AI188" s="178"/>
      <c r="AJ188" s="178"/>
      <c r="AK188" s="178"/>
      <c r="AL188" s="178"/>
      <c r="AM188" s="178"/>
      <c r="AN188" s="178"/>
      <c r="AO188" s="178"/>
      <c r="AP188" s="178"/>
      <c r="AQ188" s="178"/>
      <c r="AR188" s="178"/>
      <c r="AS188" s="178"/>
      <c r="AT188" s="178"/>
      <c r="AU188" s="178"/>
      <c r="AV188" s="178"/>
      <c r="AW188" s="178"/>
      <c r="AX188" s="178"/>
      <c r="AY188" s="178"/>
      <c r="AZ188" s="178"/>
      <c r="BA188" s="178"/>
      <c r="BB188" s="178"/>
      <c r="BC188" s="178"/>
      <c r="BD188" s="178"/>
      <c r="BE188" s="178"/>
      <c r="BF188" s="178"/>
      <c r="BG188" s="178"/>
      <c r="BH188" s="178"/>
      <c r="BI188" s="178"/>
      <c r="BJ188" s="178"/>
      <c r="BK188" s="178"/>
      <c r="BL188" s="178"/>
      <c r="BM188" s="178"/>
      <c r="BN188" s="178"/>
      <c r="BO188" s="178"/>
      <c r="BP188" s="178"/>
      <c r="BQ188" s="178"/>
      <c r="BR188" s="178"/>
      <c r="BS188" s="178"/>
      <c r="BT188" s="178"/>
      <c r="BU188" s="178"/>
    </row>
    <row r="189" spans="2:73" ht="15" customHeight="1" x14ac:dyDescent="0.25">
      <c r="B189" s="178"/>
      <c r="C189" s="179"/>
      <c r="D189" s="178"/>
      <c r="E189" s="178"/>
      <c r="F189" s="178"/>
      <c r="G189" s="178"/>
      <c r="H189" s="178"/>
      <c r="I189" s="178"/>
      <c r="J189" s="178"/>
      <c r="K189" s="178"/>
      <c r="L189" s="178"/>
      <c r="M189" s="178"/>
      <c r="N189" s="178"/>
      <c r="O189" s="178"/>
      <c r="P189" s="178"/>
      <c r="Q189" s="178"/>
      <c r="R189" s="178"/>
      <c r="S189" s="178"/>
      <c r="T189" s="178"/>
      <c r="U189" s="178"/>
      <c r="V189" s="178"/>
      <c r="W189" s="178"/>
      <c r="X189" s="178"/>
      <c r="Y189" s="178"/>
      <c r="Z189" s="178"/>
      <c r="AA189" s="178"/>
      <c r="AB189" s="178"/>
      <c r="AC189" s="178"/>
      <c r="AD189" s="178"/>
      <c r="AE189" s="178"/>
      <c r="AF189" s="178"/>
      <c r="AG189" s="178"/>
      <c r="AH189" s="178"/>
      <c r="AI189" s="178"/>
      <c r="AJ189" s="178"/>
      <c r="AK189" s="178"/>
      <c r="AL189" s="178"/>
      <c r="AM189" s="178"/>
      <c r="AN189" s="178"/>
      <c r="AO189" s="178"/>
      <c r="AP189" s="178"/>
      <c r="AQ189" s="178"/>
      <c r="AR189" s="178"/>
      <c r="AS189" s="178"/>
      <c r="AT189" s="178"/>
      <c r="AU189" s="178"/>
      <c r="AV189" s="178"/>
      <c r="AW189" s="178"/>
      <c r="AX189" s="178"/>
      <c r="AY189" s="178"/>
      <c r="AZ189" s="178"/>
      <c r="BA189" s="178"/>
      <c r="BB189" s="178"/>
      <c r="BC189" s="178"/>
      <c r="BD189" s="178"/>
      <c r="BE189" s="178"/>
      <c r="BF189" s="178"/>
      <c r="BG189" s="178"/>
      <c r="BH189" s="178"/>
      <c r="BI189" s="178"/>
      <c r="BJ189" s="178"/>
      <c r="BK189" s="178"/>
      <c r="BL189" s="178"/>
      <c r="BM189" s="178"/>
      <c r="BN189" s="178"/>
      <c r="BO189" s="178"/>
      <c r="BP189" s="178"/>
      <c r="BQ189" s="178"/>
      <c r="BR189" s="178"/>
      <c r="BS189" s="178"/>
      <c r="BT189" s="178"/>
      <c r="BU189" s="178"/>
    </row>
    <row r="190" spans="2:73" ht="15" customHeight="1" x14ac:dyDescent="0.25">
      <c r="B190" s="178"/>
      <c r="C190" s="179"/>
      <c r="D190" s="178"/>
      <c r="E190" s="178"/>
      <c r="F190" s="178"/>
      <c r="G190" s="178"/>
      <c r="H190" s="178"/>
      <c r="I190" s="178"/>
      <c r="J190" s="178"/>
      <c r="K190" s="178"/>
      <c r="L190" s="178"/>
      <c r="M190" s="178"/>
      <c r="N190" s="178"/>
      <c r="O190" s="178"/>
      <c r="P190" s="178"/>
      <c r="Q190" s="178"/>
      <c r="R190" s="178"/>
      <c r="S190" s="178"/>
      <c r="T190" s="178"/>
      <c r="U190" s="178"/>
      <c r="V190" s="178"/>
      <c r="W190" s="178"/>
      <c r="X190" s="178"/>
      <c r="Y190" s="178"/>
      <c r="Z190" s="178"/>
      <c r="AA190" s="178"/>
      <c r="AB190" s="178"/>
      <c r="AC190" s="178"/>
      <c r="AD190" s="178"/>
      <c r="AE190" s="178"/>
      <c r="AF190" s="178"/>
      <c r="AG190" s="178"/>
      <c r="AH190" s="178"/>
      <c r="AI190" s="178"/>
      <c r="AJ190" s="178"/>
      <c r="AK190" s="178"/>
      <c r="AL190" s="178"/>
      <c r="AM190" s="178"/>
      <c r="AN190" s="178"/>
      <c r="AO190" s="178"/>
      <c r="AP190" s="178"/>
      <c r="AQ190" s="178"/>
      <c r="AR190" s="178"/>
      <c r="AS190" s="178"/>
      <c r="AT190" s="178"/>
      <c r="AU190" s="178"/>
      <c r="AV190" s="178"/>
      <c r="AW190" s="178"/>
      <c r="AX190" s="178"/>
      <c r="AY190" s="178"/>
      <c r="AZ190" s="178"/>
      <c r="BA190" s="178"/>
      <c r="BB190" s="178"/>
      <c r="BC190" s="178"/>
      <c r="BD190" s="178"/>
      <c r="BE190" s="178"/>
      <c r="BF190" s="178"/>
      <c r="BG190" s="178"/>
      <c r="BH190" s="178"/>
      <c r="BI190" s="178"/>
      <c r="BJ190" s="178"/>
      <c r="BK190" s="178"/>
      <c r="BL190" s="178"/>
      <c r="BM190" s="178"/>
      <c r="BN190" s="178"/>
      <c r="BO190" s="178"/>
      <c r="BP190" s="178"/>
      <c r="BQ190" s="178"/>
      <c r="BR190" s="178"/>
      <c r="BS190" s="178"/>
      <c r="BT190" s="178"/>
      <c r="BU190" s="178"/>
    </row>
    <row r="191" spans="2:73" ht="15" customHeight="1" x14ac:dyDescent="0.25">
      <c r="B191" s="178"/>
      <c r="C191" s="179"/>
      <c r="D191" s="178"/>
      <c r="E191" s="178"/>
      <c r="F191" s="178"/>
      <c r="G191" s="178"/>
      <c r="H191" s="178"/>
      <c r="I191" s="178"/>
      <c r="J191" s="178"/>
      <c r="K191" s="178"/>
      <c r="L191" s="178"/>
      <c r="M191" s="178"/>
      <c r="N191" s="178"/>
      <c r="O191" s="178"/>
      <c r="P191" s="178"/>
      <c r="Q191" s="178"/>
      <c r="R191" s="178"/>
      <c r="S191" s="178"/>
      <c r="T191" s="178"/>
      <c r="U191" s="178"/>
      <c r="V191" s="178"/>
      <c r="W191" s="178"/>
      <c r="X191" s="178"/>
      <c r="Y191" s="178"/>
      <c r="Z191" s="178"/>
      <c r="AA191" s="178"/>
      <c r="AB191" s="178"/>
      <c r="AC191" s="178"/>
      <c r="AD191" s="178"/>
      <c r="AE191" s="178"/>
      <c r="AF191" s="178"/>
      <c r="AG191" s="178"/>
      <c r="AH191" s="178"/>
      <c r="AI191" s="178"/>
      <c r="AJ191" s="178"/>
      <c r="AK191" s="178"/>
      <c r="AL191" s="178"/>
      <c r="AM191" s="178"/>
      <c r="AN191" s="178"/>
      <c r="AO191" s="178"/>
      <c r="AP191" s="178"/>
      <c r="AQ191" s="178"/>
      <c r="AR191" s="178"/>
      <c r="AS191" s="178"/>
      <c r="AT191" s="178"/>
      <c r="AU191" s="178"/>
      <c r="AV191" s="178"/>
      <c r="AW191" s="178"/>
      <c r="AX191" s="178"/>
      <c r="AY191" s="178"/>
      <c r="AZ191" s="178"/>
      <c r="BA191" s="178"/>
      <c r="BB191" s="178"/>
      <c r="BC191" s="178"/>
      <c r="BD191" s="178"/>
      <c r="BE191" s="178"/>
      <c r="BF191" s="178"/>
      <c r="BG191" s="178"/>
      <c r="BH191" s="178"/>
      <c r="BI191" s="178"/>
      <c r="BJ191" s="178"/>
      <c r="BK191" s="178"/>
      <c r="BL191" s="178"/>
      <c r="BM191" s="178"/>
      <c r="BN191" s="178"/>
      <c r="BO191" s="178"/>
      <c r="BP191" s="178"/>
      <c r="BQ191" s="178"/>
      <c r="BR191" s="178"/>
      <c r="BS191" s="178"/>
      <c r="BT191" s="178"/>
      <c r="BU191" s="178"/>
    </row>
    <row r="192" spans="2:73" ht="15" customHeight="1" x14ac:dyDescent="0.25">
      <c r="B192" s="178"/>
      <c r="C192" s="179"/>
      <c r="D192" s="178"/>
      <c r="E192" s="178"/>
      <c r="F192" s="178"/>
      <c r="G192" s="178"/>
      <c r="H192" s="178"/>
      <c r="I192" s="178"/>
      <c r="J192" s="178"/>
      <c r="K192" s="178"/>
      <c r="L192" s="178"/>
      <c r="M192" s="178"/>
      <c r="N192" s="178"/>
      <c r="O192" s="178"/>
      <c r="P192" s="178"/>
      <c r="Q192" s="178"/>
      <c r="R192" s="178"/>
      <c r="S192" s="178"/>
      <c r="T192" s="178"/>
      <c r="U192" s="178"/>
      <c r="V192" s="178"/>
      <c r="W192" s="178"/>
      <c r="X192" s="178"/>
      <c r="Y192" s="178"/>
      <c r="Z192" s="178"/>
      <c r="AA192" s="178"/>
      <c r="AB192" s="178"/>
      <c r="AC192" s="178"/>
      <c r="AD192" s="178"/>
      <c r="AE192" s="178"/>
      <c r="AF192" s="178"/>
      <c r="AG192" s="178"/>
      <c r="AH192" s="178"/>
      <c r="AI192" s="178"/>
      <c r="AJ192" s="178"/>
      <c r="AK192" s="178"/>
      <c r="AL192" s="178"/>
      <c r="AM192" s="178"/>
      <c r="AN192" s="178"/>
      <c r="AO192" s="178"/>
      <c r="AP192" s="178"/>
      <c r="AQ192" s="178"/>
      <c r="AR192" s="178"/>
      <c r="AS192" s="178"/>
      <c r="AT192" s="178"/>
      <c r="AU192" s="178"/>
      <c r="AV192" s="178"/>
      <c r="AW192" s="178"/>
      <c r="AX192" s="178"/>
      <c r="AY192" s="178"/>
      <c r="AZ192" s="178"/>
      <c r="BA192" s="178"/>
      <c r="BB192" s="178"/>
      <c r="BC192" s="178"/>
      <c r="BD192" s="178"/>
      <c r="BE192" s="178"/>
      <c r="BF192" s="178"/>
      <c r="BG192" s="178"/>
      <c r="BH192" s="178"/>
      <c r="BI192" s="178"/>
      <c r="BJ192" s="178"/>
      <c r="BK192" s="178"/>
      <c r="BL192" s="178"/>
      <c r="BM192" s="178"/>
      <c r="BN192" s="178"/>
      <c r="BO192" s="178"/>
      <c r="BP192" s="178"/>
      <c r="BQ192" s="178"/>
      <c r="BR192" s="178"/>
      <c r="BS192" s="178"/>
      <c r="BT192" s="178"/>
      <c r="BU192" s="178"/>
    </row>
    <row r="193" spans="2:73" ht="15" customHeight="1" x14ac:dyDescent="0.25">
      <c r="B193" s="178"/>
      <c r="C193" s="179"/>
      <c r="D193" s="178"/>
      <c r="E193" s="178"/>
      <c r="F193" s="178"/>
      <c r="G193" s="178"/>
      <c r="H193" s="178"/>
      <c r="I193" s="178"/>
      <c r="J193" s="178"/>
      <c r="K193" s="178"/>
      <c r="L193" s="178"/>
      <c r="M193" s="178"/>
      <c r="N193" s="178"/>
      <c r="O193" s="178"/>
      <c r="P193" s="178"/>
      <c r="Q193" s="178"/>
      <c r="R193" s="178"/>
      <c r="S193" s="178"/>
      <c r="T193" s="178"/>
      <c r="U193" s="178"/>
      <c r="V193" s="178"/>
      <c r="W193" s="178"/>
      <c r="X193" s="178"/>
      <c r="Y193" s="178"/>
      <c r="Z193" s="178"/>
      <c r="AA193" s="178"/>
      <c r="AB193" s="178"/>
      <c r="AC193" s="178"/>
      <c r="AD193" s="178"/>
      <c r="AE193" s="178"/>
      <c r="AF193" s="178"/>
      <c r="AG193" s="178"/>
      <c r="AH193" s="178"/>
      <c r="AI193" s="178"/>
      <c r="AJ193" s="178"/>
      <c r="AK193" s="178"/>
      <c r="AL193" s="178"/>
      <c r="AM193" s="178"/>
      <c r="AN193" s="178"/>
      <c r="AO193" s="178"/>
      <c r="AP193" s="178"/>
      <c r="AQ193" s="178"/>
      <c r="AR193" s="178"/>
      <c r="AS193" s="178"/>
      <c r="AT193" s="178"/>
      <c r="AU193" s="178"/>
      <c r="AV193" s="178"/>
      <c r="AW193" s="178"/>
      <c r="AX193" s="178"/>
      <c r="AY193" s="178"/>
      <c r="AZ193" s="178"/>
      <c r="BA193" s="178"/>
      <c r="BB193" s="178"/>
      <c r="BC193" s="178"/>
      <c r="BD193" s="178"/>
      <c r="BE193" s="178"/>
      <c r="BF193" s="178"/>
      <c r="BG193" s="178"/>
      <c r="BH193" s="178"/>
      <c r="BI193" s="178"/>
      <c r="BJ193" s="178"/>
      <c r="BK193" s="178"/>
      <c r="BL193" s="178"/>
      <c r="BM193" s="178"/>
      <c r="BN193" s="178"/>
      <c r="BO193" s="178"/>
      <c r="BP193" s="178"/>
      <c r="BQ193" s="178"/>
      <c r="BR193" s="178"/>
      <c r="BS193" s="178"/>
      <c r="BT193" s="178"/>
      <c r="BU193" s="178"/>
    </row>
    <row r="194" spans="2:73" ht="15" customHeight="1" x14ac:dyDescent="0.25">
      <c r="B194" s="178"/>
      <c r="C194" s="179"/>
      <c r="D194" s="178"/>
      <c r="E194" s="178"/>
      <c r="F194" s="178"/>
      <c r="G194" s="178"/>
      <c r="H194" s="178"/>
      <c r="I194" s="178"/>
      <c r="J194" s="178"/>
      <c r="K194" s="178"/>
      <c r="L194" s="178"/>
      <c r="M194" s="178"/>
      <c r="N194" s="178"/>
      <c r="O194" s="178"/>
      <c r="P194" s="178"/>
      <c r="Q194" s="178"/>
      <c r="R194" s="178"/>
      <c r="S194" s="178"/>
      <c r="T194" s="178"/>
      <c r="U194" s="178"/>
      <c r="V194" s="178"/>
      <c r="W194" s="178"/>
      <c r="X194" s="178"/>
      <c r="Y194" s="178"/>
      <c r="Z194" s="178"/>
      <c r="AA194" s="178"/>
      <c r="AB194" s="178"/>
      <c r="AC194" s="178"/>
      <c r="AD194" s="178"/>
      <c r="AE194" s="178"/>
      <c r="AF194" s="178"/>
      <c r="AG194" s="178"/>
      <c r="AH194" s="178"/>
      <c r="AI194" s="178"/>
      <c r="AJ194" s="178"/>
      <c r="AK194" s="178"/>
      <c r="AL194" s="178"/>
      <c r="AM194" s="178"/>
      <c r="AN194" s="178"/>
      <c r="AO194" s="178"/>
      <c r="AP194" s="178"/>
      <c r="AQ194" s="178"/>
      <c r="AR194" s="178"/>
      <c r="AS194" s="178"/>
      <c r="AT194" s="178"/>
      <c r="AU194" s="178"/>
      <c r="AV194" s="178"/>
      <c r="AW194" s="178"/>
      <c r="AX194" s="178"/>
      <c r="AY194" s="178"/>
      <c r="AZ194" s="178"/>
      <c r="BA194" s="178"/>
      <c r="BB194" s="178"/>
      <c r="BC194" s="178"/>
      <c r="BD194" s="178"/>
      <c r="BE194" s="178"/>
      <c r="BF194" s="178"/>
      <c r="BG194" s="178"/>
      <c r="BH194" s="178"/>
      <c r="BI194" s="178"/>
      <c r="BJ194" s="178"/>
      <c r="BK194" s="178"/>
      <c r="BL194" s="178"/>
      <c r="BM194" s="178"/>
      <c r="BN194" s="178"/>
      <c r="BO194" s="178"/>
      <c r="BP194" s="178"/>
      <c r="BQ194" s="178"/>
      <c r="BR194" s="178"/>
      <c r="BS194" s="178"/>
      <c r="BT194" s="178"/>
      <c r="BU194" s="178"/>
    </row>
    <row r="195" spans="2:73" ht="15" customHeight="1" x14ac:dyDescent="0.25">
      <c r="B195" s="178"/>
      <c r="C195" s="179"/>
      <c r="D195" s="178"/>
      <c r="E195" s="178"/>
      <c r="F195" s="178"/>
      <c r="G195" s="178"/>
      <c r="H195" s="178"/>
      <c r="I195" s="178"/>
      <c r="J195" s="178"/>
      <c r="K195" s="178"/>
      <c r="L195" s="178"/>
      <c r="M195" s="178"/>
      <c r="N195" s="178"/>
      <c r="O195" s="178"/>
      <c r="P195" s="178"/>
      <c r="Q195" s="178"/>
      <c r="R195" s="178"/>
      <c r="S195" s="178"/>
      <c r="T195" s="178"/>
      <c r="U195" s="178"/>
      <c r="V195" s="178"/>
      <c r="W195" s="178"/>
      <c r="X195" s="178"/>
      <c r="Y195" s="178"/>
      <c r="Z195" s="178"/>
      <c r="AA195" s="178"/>
      <c r="AB195" s="178"/>
      <c r="AC195" s="178"/>
      <c r="AD195" s="178"/>
      <c r="AE195" s="178"/>
      <c r="AF195" s="178"/>
      <c r="AG195" s="178"/>
      <c r="AH195" s="178"/>
      <c r="AI195" s="178"/>
      <c r="AJ195" s="178"/>
      <c r="AK195" s="178"/>
      <c r="AL195" s="178"/>
      <c r="AM195" s="178"/>
      <c r="AN195" s="178"/>
      <c r="AO195" s="178"/>
      <c r="AP195" s="178"/>
      <c r="AQ195" s="178"/>
      <c r="AR195" s="178"/>
      <c r="AS195" s="178"/>
      <c r="AT195" s="178"/>
      <c r="AU195" s="178"/>
      <c r="AV195" s="178"/>
      <c r="AW195" s="178"/>
      <c r="AX195" s="178"/>
      <c r="AY195" s="178"/>
      <c r="AZ195" s="178"/>
      <c r="BA195" s="178"/>
      <c r="BB195" s="178"/>
      <c r="BC195" s="178"/>
      <c r="BD195" s="178"/>
      <c r="BE195" s="178"/>
      <c r="BF195" s="178"/>
      <c r="BG195" s="178"/>
      <c r="BH195" s="178"/>
      <c r="BI195" s="178"/>
      <c r="BJ195" s="178"/>
      <c r="BK195" s="178"/>
      <c r="BL195" s="178"/>
      <c r="BM195" s="178"/>
      <c r="BN195" s="178"/>
      <c r="BO195" s="178"/>
      <c r="BP195" s="178"/>
      <c r="BQ195" s="178"/>
      <c r="BR195" s="178"/>
      <c r="BS195" s="178"/>
      <c r="BT195" s="178"/>
      <c r="BU195" s="178"/>
    </row>
    <row r="196" spans="2:73" ht="15" customHeight="1" x14ac:dyDescent="0.25">
      <c r="B196" s="178"/>
      <c r="C196" s="179"/>
      <c r="D196" s="178"/>
      <c r="E196" s="178"/>
      <c r="F196" s="178"/>
      <c r="G196" s="178"/>
      <c r="H196" s="178"/>
      <c r="I196" s="178"/>
      <c r="J196" s="178"/>
      <c r="K196" s="178"/>
      <c r="L196" s="178"/>
      <c r="M196" s="178"/>
      <c r="N196" s="178"/>
      <c r="O196" s="178"/>
      <c r="P196" s="178"/>
      <c r="Q196" s="178"/>
      <c r="R196" s="178"/>
      <c r="S196" s="178"/>
      <c r="T196" s="178"/>
      <c r="U196" s="178"/>
      <c r="V196" s="178"/>
      <c r="W196" s="178"/>
      <c r="X196" s="178"/>
      <c r="Y196" s="178"/>
      <c r="Z196" s="178"/>
      <c r="AA196" s="178"/>
      <c r="AB196" s="178"/>
      <c r="AC196" s="178"/>
      <c r="AD196" s="178"/>
      <c r="AE196" s="178"/>
      <c r="AF196" s="178"/>
      <c r="AG196" s="178"/>
      <c r="AH196" s="178"/>
      <c r="AI196" s="178"/>
      <c r="AJ196" s="178"/>
      <c r="AK196" s="178"/>
      <c r="AL196" s="178"/>
      <c r="AM196" s="178"/>
      <c r="AN196" s="178"/>
      <c r="AO196" s="178"/>
      <c r="AP196" s="178"/>
      <c r="AQ196" s="178"/>
      <c r="AR196" s="178"/>
      <c r="AS196" s="178"/>
      <c r="AT196" s="178"/>
      <c r="AU196" s="178"/>
      <c r="AV196" s="178"/>
      <c r="AW196" s="178"/>
      <c r="AX196" s="178"/>
      <c r="AY196" s="178"/>
      <c r="AZ196" s="178"/>
      <c r="BA196" s="178"/>
      <c r="BB196" s="178"/>
      <c r="BC196" s="178"/>
      <c r="BD196" s="178"/>
      <c r="BE196" s="178"/>
      <c r="BF196" s="178"/>
      <c r="BG196" s="178"/>
      <c r="BH196" s="178"/>
      <c r="BI196" s="178"/>
      <c r="BJ196" s="178"/>
      <c r="BK196" s="178"/>
      <c r="BL196" s="178"/>
      <c r="BM196" s="178"/>
      <c r="BN196" s="178"/>
      <c r="BO196" s="178"/>
      <c r="BP196" s="178"/>
      <c r="BQ196" s="178"/>
      <c r="BR196" s="178"/>
      <c r="BS196" s="178"/>
      <c r="BT196" s="178"/>
      <c r="BU196" s="178"/>
    </row>
    <row r="197" spans="2:73" ht="15" customHeight="1" x14ac:dyDescent="0.25">
      <c r="B197" s="178"/>
      <c r="C197" s="179"/>
      <c r="D197" s="178"/>
      <c r="E197" s="178"/>
      <c r="F197" s="178"/>
      <c r="G197" s="178"/>
      <c r="H197" s="178"/>
      <c r="I197" s="178"/>
      <c r="J197" s="178"/>
      <c r="K197" s="178"/>
      <c r="L197" s="178"/>
      <c r="M197" s="178"/>
      <c r="N197" s="178"/>
      <c r="O197" s="178"/>
      <c r="P197" s="178"/>
      <c r="Q197" s="178"/>
      <c r="R197" s="178"/>
      <c r="S197" s="178"/>
      <c r="T197" s="178"/>
      <c r="U197" s="178"/>
      <c r="V197" s="178"/>
      <c r="W197" s="178"/>
      <c r="X197" s="178"/>
      <c r="Y197" s="178"/>
      <c r="Z197" s="178"/>
      <c r="AA197" s="178"/>
      <c r="AB197" s="178"/>
      <c r="AC197" s="178"/>
      <c r="AD197" s="178"/>
      <c r="AE197" s="178"/>
      <c r="AF197" s="178"/>
      <c r="AG197" s="178"/>
      <c r="AH197" s="178"/>
      <c r="AI197" s="178"/>
      <c r="AJ197" s="178"/>
      <c r="AK197" s="178"/>
      <c r="AL197" s="178"/>
      <c r="AM197" s="178"/>
      <c r="AN197" s="178"/>
      <c r="AO197" s="178"/>
      <c r="AP197" s="178"/>
      <c r="AQ197" s="178"/>
      <c r="AR197" s="178"/>
      <c r="AS197" s="178"/>
      <c r="AT197" s="178"/>
      <c r="AU197" s="178"/>
      <c r="AV197" s="178"/>
      <c r="AW197" s="178"/>
      <c r="AX197" s="178"/>
      <c r="AY197" s="178"/>
      <c r="AZ197" s="178"/>
      <c r="BA197" s="178"/>
      <c r="BB197" s="178"/>
      <c r="BC197" s="178"/>
      <c r="BD197" s="178"/>
      <c r="BE197" s="178"/>
      <c r="BF197" s="178"/>
      <c r="BG197" s="178"/>
      <c r="BH197" s="178"/>
      <c r="BI197" s="178"/>
      <c r="BJ197" s="178"/>
      <c r="BK197" s="178"/>
      <c r="BL197" s="178"/>
      <c r="BM197" s="178"/>
      <c r="BN197" s="178"/>
      <c r="BO197" s="178"/>
      <c r="BP197" s="178"/>
      <c r="BQ197" s="178"/>
      <c r="BR197" s="178"/>
      <c r="BS197" s="178"/>
      <c r="BT197" s="178"/>
      <c r="BU197" s="178"/>
    </row>
    <row r="198" spans="2:73" ht="15" customHeight="1" x14ac:dyDescent="0.25">
      <c r="B198" s="178"/>
      <c r="C198" s="179"/>
      <c r="D198" s="178"/>
      <c r="E198" s="178"/>
      <c r="F198" s="178"/>
      <c r="G198" s="178"/>
      <c r="H198" s="178"/>
      <c r="I198" s="178"/>
      <c r="J198" s="178"/>
      <c r="K198" s="178"/>
      <c r="L198" s="178"/>
      <c r="M198" s="178"/>
      <c r="N198" s="178"/>
      <c r="O198" s="178"/>
      <c r="P198" s="178"/>
      <c r="Q198" s="178"/>
      <c r="R198" s="178"/>
      <c r="S198" s="178"/>
      <c r="T198" s="178"/>
      <c r="U198" s="178"/>
      <c r="V198" s="178"/>
      <c r="W198" s="178"/>
      <c r="X198" s="178"/>
      <c r="Y198" s="178"/>
      <c r="Z198" s="178"/>
      <c r="AA198" s="178"/>
      <c r="AB198" s="178"/>
      <c r="AC198" s="178"/>
      <c r="AD198" s="178"/>
      <c r="AE198" s="178"/>
      <c r="AF198" s="178"/>
      <c r="AG198" s="178"/>
      <c r="AH198" s="178"/>
      <c r="AI198" s="178"/>
      <c r="AJ198" s="178"/>
      <c r="AK198" s="178"/>
      <c r="AL198" s="178"/>
      <c r="AM198" s="178"/>
      <c r="AN198" s="178"/>
      <c r="AO198" s="178"/>
      <c r="AP198" s="178"/>
      <c r="AQ198" s="178"/>
      <c r="AR198" s="178"/>
      <c r="AS198" s="178"/>
      <c r="AT198" s="178"/>
      <c r="AU198" s="178"/>
      <c r="AV198" s="178"/>
      <c r="AW198" s="178"/>
      <c r="AX198" s="178"/>
      <c r="AY198" s="178"/>
      <c r="AZ198" s="178"/>
      <c r="BA198" s="178"/>
      <c r="BB198" s="178"/>
      <c r="BC198" s="178"/>
      <c r="BD198" s="178"/>
      <c r="BE198" s="178"/>
      <c r="BF198" s="178"/>
      <c r="BG198" s="178"/>
      <c r="BH198" s="178"/>
      <c r="BI198" s="178"/>
      <c r="BJ198" s="178"/>
      <c r="BK198" s="178"/>
      <c r="BL198" s="178"/>
      <c r="BM198" s="178"/>
      <c r="BN198" s="178"/>
      <c r="BO198" s="178"/>
      <c r="BP198" s="178"/>
      <c r="BQ198" s="178"/>
      <c r="BR198" s="178"/>
      <c r="BS198" s="178"/>
      <c r="BT198" s="178"/>
      <c r="BU198" s="178"/>
    </row>
    <row r="199" spans="2:73" ht="15" customHeight="1" x14ac:dyDescent="0.25">
      <c r="B199" s="178"/>
      <c r="C199" s="179"/>
      <c r="D199" s="178"/>
      <c r="E199" s="178"/>
      <c r="F199" s="178"/>
      <c r="G199" s="178"/>
      <c r="H199" s="178"/>
      <c r="I199" s="178"/>
      <c r="J199" s="178"/>
      <c r="K199" s="178"/>
      <c r="L199" s="178"/>
      <c r="M199" s="178"/>
      <c r="N199" s="178"/>
      <c r="O199" s="178"/>
      <c r="P199" s="178"/>
      <c r="Q199" s="178"/>
      <c r="R199" s="178"/>
      <c r="S199" s="178"/>
      <c r="T199" s="178"/>
      <c r="U199" s="178"/>
      <c r="V199" s="178"/>
      <c r="W199" s="178"/>
      <c r="X199" s="178"/>
      <c r="Y199" s="178"/>
      <c r="Z199" s="178"/>
      <c r="AA199" s="178"/>
      <c r="AB199" s="178"/>
      <c r="AC199" s="178"/>
      <c r="AD199" s="178"/>
      <c r="AE199" s="178"/>
      <c r="AF199" s="178"/>
      <c r="AG199" s="178"/>
      <c r="AH199" s="178"/>
      <c r="AI199" s="178"/>
      <c r="AJ199" s="178"/>
      <c r="AK199" s="178"/>
      <c r="AL199" s="178"/>
      <c r="AM199" s="178"/>
      <c r="AN199" s="178"/>
      <c r="AO199" s="178"/>
      <c r="AP199" s="178"/>
      <c r="AQ199" s="178"/>
      <c r="AR199" s="178"/>
      <c r="AS199" s="178"/>
      <c r="AT199" s="178"/>
      <c r="AU199" s="178"/>
      <c r="AV199" s="178"/>
      <c r="AW199" s="178"/>
      <c r="AX199" s="178"/>
      <c r="AY199" s="178"/>
      <c r="AZ199" s="178"/>
      <c r="BA199" s="178"/>
      <c r="BB199" s="178"/>
      <c r="BC199" s="178"/>
      <c r="BD199" s="178"/>
      <c r="BE199" s="178"/>
      <c r="BF199" s="178"/>
      <c r="BG199" s="178"/>
      <c r="BH199" s="178"/>
      <c r="BI199" s="178"/>
      <c r="BJ199" s="178"/>
      <c r="BK199" s="178"/>
      <c r="BL199" s="178"/>
      <c r="BM199" s="178"/>
      <c r="BN199" s="178"/>
      <c r="BO199" s="178"/>
      <c r="BP199" s="178"/>
      <c r="BQ199" s="178"/>
      <c r="BR199" s="178"/>
      <c r="BS199" s="178"/>
      <c r="BT199" s="178"/>
      <c r="BU199" s="178"/>
    </row>
    <row r="200" spans="2:73" ht="15" customHeight="1" x14ac:dyDescent="0.25">
      <c r="B200" s="178"/>
      <c r="C200" s="179"/>
      <c r="D200" s="178"/>
      <c r="E200" s="178"/>
      <c r="F200" s="178"/>
      <c r="G200" s="178"/>
      <c r="H200" s="178"/>
      <c r="I200" s="178"/>
      <c r="J200" s="178"/>
      <c r="K200" s="178"/>
      <c r="L200" s="178"/>
      <c r="M200" s="178"/>
      <c r="N200" s="178"/>
      <c r="O200" s="178"/>
      <c r="P200" s="178"/>
      <c r="Q200" s="178"/>
      <c r="R200" s="178"/>
      <c r="S200" s="178"/>
      <c r="T200" s="178"/>
      <c r="U200" s="178"/>
      <c r="V200" s="178"/>
      <c r="W200" s="178"/>
      <c r="X200" s="178"/>
      <c r="Y200" s="178"/>
      <c r="Z200" s="178"/>
      <c r="AA200" s="178"/>
      <c r="AB200" s="178"/>
      <c r="AC200" s="178"/>
      <c r="AD200" s="178"/>
      <c r="AE200" s="178"/>
      <c r="AF200" s="178"/>
      <c r="AG200" s="178"/>
      <c r="AH200" s="178"/>
      <c r="AI200" s="178"/>
      <c r="AJ200" s="178"/>
      <c r="AK200" s="178"/>
      <c r="AL200" s="178"/>
      <c r="AM200" s="178"/>
      <c r="AN200" s="178"/>
      <c r="AO200" s="178"/>
      <c r="AP200" s="178"/>
      <c r="AQ200" s="178"/>
      <c r="AR200" s="178"/>
      <c r="AS200" s="178"/>
      <c r="AT200" s="178"/>
      <c r="AU200" s="178"/>
      <c r="AV200" s="178"/>
      <c r="AW200" s="178"/>
      <c r="AX200" s="178"/>
      <c r="AY200" s="178"/>
      <c r="AZ200" s="178"/>
      <c r="BA200" s="178"/>
      <c r="BB200" s="178"/>
      <c r="BC200" s="178"/>
      <c r="BD200" s="178"/>
      <c r="BE200" s="178"/>
      <c r="BF200" s="178"/>
      <c r="BG200" s="178"/>
      <c r="BH200" s="178"/>
      <c r="BI200" s="178"/>
      <c r="BJ200" s="178"/>
      <c r="BK200" s="178"/>
      <c r="BL200" s="178"/>
      <c r="BM200" s="178"/>
      <c r="BN200" s="178"/>
      <c r="BO200" s="178"/>
      <c r="BP200" s="178"/>
      <c r="BQ200" s="178"/>
      <c r="BR200" s="178"/>
      <c r="BS200" s="178"/>
      <c r="BT200" s="178"/>
      <c r="BU200" s="178"/>
    </row>
    <row r="201" spans="2:73" ht="15" customHeight="1" x14ac:dyDescent="0.25">
      <c r="B201" s="178"/>
      <c r="C201" s="179"/>
      <c r="D201" s="178"/>
      <c r="E201" s="178"/>
      <c r="F201" s="178"/>
      <c r="G201" s="178"/>
      <c r="H201" s="178"/>
      <c r="I201" s="178"/>
      <c r="J201" s="178"/>
      <c r="K201" s="178"/>
      <c r="L201" s="178"/>
      <c r="M201" s="178"/>
      <c r="N201" s="178"/>
      <c r="O201" s="178"/>
      <c r="P201" s="178"/>
      <c r="Q201" s="178"/>
      <c r="R201" s="178"/>
      <c r="S201" s="178"/>
      <c r="T201" s="178"/>
      <c r="U201" s="178"/>
      <c r="V201" s="178"/>
      <c r="W201" s="178"/>
      <c r="X201" s="178"/>
      <c r="Y201" s="178"/>
      <c r="Z201" s="178"/>
      <c r="AA201" s="178"/>
      <c r="AB201" s="178"/>
      <c r="AC201" s="178"/>
      <c r="AD201" s="178"/>
      <c r="AE201" s="178"/>
      <c r="AF201" s="178"/>
      <c r="AG201" s="178"/>
      <c r="AH201" s="178"/>
      <c r="AI201" s="178"/>
      <c r="AJ201" s="178"/>
      <c r="AK201" s="178"/>
      <c r="AL201" s="178"/>
      <c r="AM201" s="178"/>
      <c r="AN201" s="178"/>
      <c r="AO201" s="178"/>
      <c r="AP201" s="178"/>
      <c r="AQ201" s="178"/>
      <c r="AR201" s="178"/>
      <c r="AS201" s="178"/>
      <c r="AT201" s="178"/>
      <c r="AU201" s="178"/>
      <c r="AV201" s="178"/>
      <c r="AW201" s="178"/>
      <c r="AX201" s="178"/>
      <c r="AY201" s="178"/>
      <c r="AZ201" s="178"/>
      <c r="BA201" s="178"/>
      <c r="BB201" s="178"/>
      <c r="BC201" s="178"/>
      <c r="BD201" s="178"/>
      <c r="BE201" s="178"/>
      <c r="BF201" s="178"/>
      <c r="BG201" s="178"/>
      <c r="BH201" s="178"/>
      <c r="BI201" s="178"/>
      <c r="BJ201" s="178"/>
      <c r="BK201" s="178"/>
      <c r="BL201" s="178"/>
      <c r="BM201" s="178"/>
      <c r="BN201" s="178"/>
      <c r="BO201" s="178"/>
      <c r="BP201" s="178"/>
      <c r="BQ201" s="178"/>
      <c r="BR201" s="178"/>
      <c r="BS201" s="178"/>
      <c r="BT201" s="178"/>
      <c r="BU201" s="178"/>
    </row>
    <row r="202" spans="2:73" ht="15" customHeight="1" x14ac:dyDescent="0.25">
      <c r="B202" s="178"/>
      <c r="C202" s="179"/>
      <c r="D202" s="178"/>
      <c r="E202" s="178"/>
      <c r="F202" s="178"/>
      <c r="G202" s="178"/>
      <c r="H202" s="178"/>
      <c r="I202" s="178"/>
      <c r="J202" s="178"/>
      <c r="K202" s="178"/>
      <c r="L202" s="178"/>
      <c r="M202" s="178"/>
      <c r="N202" s="178"/>
      <c r="O202" s="178"/>
      <c r="P202" s="178"/>
      <c r="Q202" s="178"/>
      <c r="R202" s="178"/>
      <c r="S202" s="178"/>
      <c r="T202" s="178"/>
      <c r="U202" s="178"/>
      <c r="V202" s="178"/>
      <c r="W202" s="178"/>
      <c r="X202" s="178"/>
      <c r="Y202" s="178"/>
      <c r="Z202" s="178"/>
      <c r="AA202" s="178"/>
      <c r="AB202" s="178"/>
      <c r="AC202" s="178"/>
      <c r="AD202" s="178"/>
      <c r="AE202" s="178"/>
      <c r="AF202" s="178"/>
      <c r="AG202" s="178"/>
      <c r="AH202" s="178"/>
      <c r="AI202" s="178"/>
      <c r="AJ202" s="178"/>
      <c r="AK202" s="178"/>
      <c r="AL202" s="178"/>
      <c r="AM202" s="178"/>
      <c r="AN202" s="178"/>
      <c r="AO202" s="178"/>
      <c r="AP202" s="178"/>
      <c r="AQ202" s="178"/>
      <c r="AR202" s="178"/>
      <c r="AS202" s="178"/>
      <c r="AT202" s="178"/>
      <c r="AU202" s="178"/>
      <c r="AV202" s="178"/>
      <c r="AW202" s="178"/>
      <c r="AX202" s="178"/>
      <c r="AY202" s="178"/>
      <c r="AZ202" s="178"/>
      <c r="BA202" s="178"/>
      <c r="BB202" s="178"/>
      <c r="BC202" s="178"/>
      <c r="BD202" s="178"/>
      <c r="BE202" s="178"/>
      <c r="BF202" s="178"/>
      <c r="BG202" s="178"/>
      <c r="BH202" s="178"/>
      <c r="BI202" s="178"/>
      <c r="BJ202" s="178"/>
      <c r="BK202" s="178"/>
      <c r="BL202" s="178"/>
      <c r="BM202" s="178"/>
      <c r="BN202" s="178"/>
      <c r="BO202" s="178"/>
      <c r="BP202" s="178"/>
      <c r="BQ202" s="178"/>
      <c r="BR202" s="178"/>
      <c r="BS202" s="178"/>
      <c r="BT202" s="178"/>
      <c r="BU202" s="178"/>
    </row>
    <row r="203" spans="2:73" ht="15" customHeight="1" x14ac:dyDescent="0.25">
      <c r="B203" s="178"/>
      <c r="C203" s="179"/>
      <c r="D203" s="178"/>
      <c r="E203" s="178"/>
      <c r="F203" s="178"/>
      <c r="G203" s="178"/>
      <c r="H203" s="178"/>
      <c r="I203" s="178"/>
      <c r="J203" s="178"/>
      <c r="K203" s="178"/>
      <c r="L203" s="178"/>
      <c r="M203" s="178"/>
      <c r="N203" s="178"/>
      <c r="O203" s="178"/>
      <c r="P203" s="178"/>
      <c r="Q203" s="178"/>
      <c r="R203" s="178"/>
      <c r="S203" s="178"/>
      <c r="T203" s="178"/>
      <c r="U203" s="178"/>
      <c r="V203" s="178"/>
      <c r="W203" s="178"/>
      <c r="X203" s="178"/>
      <c r="Y203" s="178"/>
      <c r="Z203" s="178"/>
      <c r="AA203" s="178"/>
      <c r="AB203" s="178"/>
      <c r="AC203" s="178"/>
      <c r="AD203" s="178"/>
      <c r="AE203" s="178"/>
      <c r="AF203" s="178"/>
      <c r="AG203" s="178"/>
      <c r="AH203" s="178"/>
      <c r="AI203" s="178"/>
      <c r="AJ203" s="178"/>
      <c r="AK203" s="178"/>
      <c r="AL203" s="178"/>
      <c r="AM203" s="178"/>
      <c r="AN203" s="178"/>
      <c r="AO203" s="178"/>
      <c r="AP203" s="178"/>
      <c r="AQ203" s="178"/>
      <c r="AR203" s="178"/>
      <c r="AS203" s="178"/>
      <c r="AT203" s="178"/>
      <c r="AU203" s="178"/>
      <c r="AV203" s="178"/>
      <c r="AW203" s="178"/>
      <c r="AX203" s="178"/>
      <c r="AY203" s="178"/>
      <c r="AZ203" s="178"/>
      <c r="BA203" s="178"/>
      <c r="BB203" s="178"/>
      <c r="BC203" s="178"/>
      <c r="BD203" s="178"/>
      <c r="BE203" s="178"/>
      <c r="BF203" s="178"/>
      <c r="BG203" s="178"/>
      <c r="BH203" s="178"/>
      <c r="BI203" s="178"/>
      <c r="BJ203" s="178"/>
      <c r="BK203" s="178"/>
      <c r="BL203" s="178"/>
      <c r="BM203" s="178"/>
      <c r="BN203" s="178"/>
      <c r="BO203" s="178"/>
      <c r="BP203" s="178"/>
      <c r="BQ203" s="178"/>
      <c r="BR203" s="178"/>
      <c r="BS203" s="178"/>
      <c r="BT203" s="178"/>
      <c r="BU203" s="178"/>
    </row>
    <row r="204" spans="2:73" ht="15" customHeight="1" x14ac:dyDescent="0.25">
      <c r="B204" s="178"/>
      <c r="C204" s="179"/>
      <c r="D204" s="178"/>
      <c r="E204" s="178"/>
      <c r="F204" s="178"/>
      <c r="G204" s="178"/>
      <c r="H204" s="178"/>
      <c r="I204" s="178"/>
      <c r="J204" s="178"/>
      <c r="K204" s="178"/>
      <c r="L204" s="178"/>
      <c r="M204" s="178"/>
      <c r="N204" s="178"/>
      <c r="O204" s="178"/>
      <c r="P204" s="178"/>
      <c r="Q204" s="178"/>
      <c r="R204" s="178"/>
      <c r="S204" s="178"/>
      <c r="T204" s="178"/>
      <c r="U204" s="178"/>
      <c r="V204" s="178"/>
      <c r="W204" s="178"/>
      <c r="X204" s="178"/>
      <c r="Y204" s="178"/>
      <c r="Z204" s="178"/>
      <c r="AA204" s="178"/>
      <c r="AB204" s="178"/>
      <c r="AC204" s="178"/>
      <c r="AD204" s="178"/>
      <c r="AE204" s="178"/>
      <c r="AF204" s="178"/>
      <c r="AG204" s="178"/>
      <c r="AH204" s="178"/>
      <c r="AI204" s="178"/>
      <c r="AJ204" s="178"/>
      <c r="AK204" s="178"/>
      <c r="AL204" s="178"/>
      <c r="AM204" s="178"/>
      <c r="AN204" s="178"/>
      <c r="AO204" s="178"/>
      <c r="AP204" s="178"/>
      <c r="AQ204" s="178"/>
      <c r="AR204" s="178"/>
      <c r="AS204" s="178"/>
      <c r="AT204" s="178"/>
      <c r="AU204" s="178"/>
      <c r="AV204" s="178"/>
      <c r="AW204" s="178"/>
      <c r="AX204" s="178"/>
      <c r="AY204" s="178"/>
      <c r="AZ204" s="178"/>
      <c r="BA204" s="178"/>
      <c r="BB204" s="178"/>
      <c r="BC204" s="178"/>
      <c r="BD204" s="178"/>
      <c r="BE204" s="178"/>
      <c r="BF204" s="178"/>
      <c r="BG204" s="178"/>
      <c r="BH204" s="178"/>
      <c r="BI204" s="178"/>
      <c r="BJ204" s="178"/>
      <c r="BK204" s="178"/>
      <c r="BL204" s="178"/>
      <c r="BM204" s="178"/>
      <c r="BN204" s="178"/>
      <c r="BO204" s="178"/>
      <c r="BP204" s="178"/>
      <c r="BQ204" s="178"/>
      <c r="BR204" s="178"/>
      <c r="BS204" s="178"/>
      <c r="BT204" s="178"/>
      <c r="BU204" s="178"/>
    </row>
    <row r="205" spans="2:73" ht="15" customHeight="1" x14ac:dyDescent="0.25">
      <c r="B205" s="178"/>
      <c r="C205" s="179"/>
      <c r="D205" s="178"/>
      <c r="E205" s="178"/>
      <c r="F205" s="178"/>
      <c r="G205" s="178"/>
      <c r="H205" s="178"/>
      <c r="I205" s="178"/>
      <c r="J205" s="178"/>
      <c r="K205" s="178"/>
      <c r="L205" s="178"/>
      <c r="M205" s="178"/>
      <c r="N205" s="178"/>
      <c r="O205" s="178"/>
      <c r="P205" s="178"/>
      <c r="Q205" s="178"/>
      <c r="R205" s="178"/>
      <c r="S205" s="178"/>
      <c r="T205" s="178"/>
      <c r="U205" s="178"/>
      <c r="V205" s="178"/>
      <c r="W205" s="178"/>
      <c r="X205" s="178"/>
      <c r="Y205" s="178"/>
      <c r="Z205" s="178"/>
      <c r="AA205" s="178"/>
      <c r="AB205" s="178"/>
      <c r="AC205" s="178"/>
      <c r="AD205" s="178"/>
      <c r="AE205" s="178"/>
      <c r="AF205" s="178"/>
      <c r="AG205" s="178"/>
      <c r="AH205" s="178"/>
      <c r="AI205" s="178"/>
      <c r="AJ205" s="178"/>
      <c r="AK205" s="178"/>
      <c r="AL205" s="178"/>
      <c r="AM205" s="178"/>
      <c r="AN205" s="178"/>
      <c r="AO205" s="178"/>
      <c r="AP205" s="178"/>
      <c r="AQ205" s="178"/>
      <c r="AR205" s="178"/>
      <c r="AS205" s="178"/>
      <c r="AT205" s="178"/>
      <c r="AU205" s="178"/>
      <c r="AV205" s="178"/>
      <c r="AW205" s="178"/>
      <c r="AX205" s="178"/>
      <c r="AY205" s="178"/>
      <c r="AZ205" s="178"/>
      <c r="BA205" s="178"/>
      <c r="BB205" s="178"/>
      <c r="BC205" s="178"/>
      <c r="BD205" s="178"/>
      <c r="BE205" s="178"/>
      <c r="BF205" s="178"/>
      <c r="BG205" s="178"/>
      <c r="BH205" s="178"/>
      <c r="BI205" s="178"/>
      <c r="BJ205" s="178"/>
      <c r="BK205" s="178"/>
      <c r="BL205" s="178"/>
      <c r="BM205" s="178"/>
      <c r="BN205" s="178"/>
      <c r="BO205" s="178"/>
      <c r="BP205" s="178"/>
      <c r="BQ205" s="178"/>
      <c r="BR205" s="178"/>
      <c r="BS205" s="178"/>
      <c r="BT205" s="178"/>
      <c r="BU205" s="178"/>
    </row>
    <row r="206" spans="2:73" ht="15" customHeight="1" x14ac:dyDescent="0.25">
      <c r="B206" s="178"/>
      <c r="C206" s="179"/>
      <c r="D206" s="178"/>
      <c r="E206" s="178"/>
      <c r="F206" s="178"/>
      <c r="G206" s="178"/>
      <c r="H206" s="178"/>
      <c r="I206" s="178"/>
      <c r="J206" s="178"/>
      <c r="K206" s="178"/>
      <c r="L206" s="178"/>
      <c r="M206" s="178"/>
      <c r="N206" s="178"/>
      <c r="O206" s="178"/>
      <c r="P206" s="178"/>
      <c r="Q206" s="178"/>
      <c r="R206" s="178"/>
      <c r="S206" s="178"/>
      <c r="T206" s="178"/>
      <c r="U206" s="178"/>
      <c r="V206" s="178"/>
      <c r="W206" s="178"/>
      <c r="X206" s="178"/>
      <c r="Y206" s="178"/>
      <c r="Z206" s="178"/>
      <c r="AA206" s="178"/>
      <c r="AB206" s="178"/>
      <c r="AC206" s="178"/>
      <c r="AD206" s="178"/>
      <c r="AE206" s="178"/>
      <c r="AF206" s="178"/>
      <c r="AG206" s="178"/>
      <c r="AH206" s="178"/>
      <c r="AI206" s="178"/>
      <c r="AJ206" s="178"/>
      <c r="AK206" s="178"/>
      <c r="AL206" s="178"/>
      <c r="AM206" s="178"/>
      <c r="AN206" s="178"/>
      <c r="AO206" s="178"/>
      <c r="AP206" s="178"/>
      <c r="AQ206" s="178"/>
      <c r="AR206" s="178"/>
      <c r="AS206" s="178"/>
      <c r="AT206" s="178"/>
      <c r="AU206" s="178"/>
      <c r="AV206" s="178"/>
      <c r="AW206" s="178"/>
      <c r="AX206" s="178"/>
      <c r="AY206" s="178"/>
      <c r="AZ206" s="178"/>
      <c r="BA206" s="178"/>
      <c r="BB206" s="178"/>
      <c r="BC206" s="178"/>
      <c r="BD206" s="178"/>
      <c r="BE206" s="178"/>
      <c r="BF206" s="178"/>
      <c r="BG206" s="178"/>
      <c r="BH206" s="178"/>
      <c r="BI206" s="178"/>
      <c r="BJ206" s="178"/>
      <c r="BK206" s="178"/>
      <c r="BL206" s="178"/>
      <c r="BM206" s="178"/>
      <c r="BN206" s="178"/>
      <c r="BO206" s="178"/>
      <c r="BP206" s="178"/>
      <c r="BQ206" s="178"/>
      <c r="BR206" s="178"/>
      <c r="BS206" s="178"/>
      <c r="BT206" s="178"/>
      <c r="BU206" s="178"/>
    </row>
    <row r="207" spans="2:73" ht="15" customHeight="1" x14ac:dyDescent="0.25">
      <c r="B207" s="178"/>
      <c r="C207" s="179"/>
      <c r="D207" s="178"/>
      <c r="E207" s="178"/>
      <c r="F207" s="178"/>
      <c r="G207" s="178"/>
      <c r="H207" s="178"/>
      <c r="I207" s="178"/>
      <c r="J207" s="178"/>
      <c r="K207" s="178"/>
      <c r="L207" s="178"/>
      <c r="M207" s="178"/>
      <c r="N207" s="178"/>
      <c r="O207" s="178"/>
      <c r="P207" s="178"/>
      <c r="Q207" s="178"/>
      <c r="R207" s="178"/>
      <c r="S207" s="178"/>
      <c r="T207" s="178"/>
      <c r="U207" s="178"/>
      <c r="V207" s="178"/>
      <c r="W207" s="178"/>
      <c r="X207" s="178"/>
      <c r="Y207" s="178"/>
      <c r="Z207" s="178"/>
      <c r="AA207" s="178"/>
      <c r="AB207" s="178"/>
      <c r="AC207" s="178"/>
      <c r="AD207" s="178"/>
      <c r="AE207" s="178"/>
      <c r="AF207" s="178"/>
      <c r="AG207" s="178"/>
      <c r="AH207" s="178"/>
      <c r="AI207" s="178"/>
      <c r="AJ207" s="178"/>
      <c r="AK207" s="178"/>
      <c r="AL207" s="178"/>
      <c r="AM207" s="178"/>
      <c r="AN207" s="178"/>
      <c r="AO207" s="178"/>
      <c r="AP207" s="178"/>
      <c r="AQ207" s="178"/>
      <c r="AR207" s="178"/>
      <c r="AS207" s="178"/>
      <c r="AT207" s="178"/>
      <c r="AU207" s="178"/>
      <c r="AV207" s="178"/>
      <c r="AW207" s="178"/>
      <c r="AX207" s="178"/>
      <c r="AY207" s="178"/>
      <c r="AZ207" s="178"/>
      <c r="BA207" s="178"/>
      <c r="BB207" s="178"/>
      <c r="BC207" s="178"/>
      <c r="BD207" s="178"/>
      <c r="BE207" s="178"/>
      <c r="BF207" s="178"/>
      <c r="BG207" s="178"/>
      <c r="BH207" s="178"/>
      <c r="BI207" s="178"/>
      <c r="BJ207" s="178"/>
      <c r="BK207" s="178"/>
      <c r="BL207" s="178"/>
      <c r="BM207" s="178"/>
      <c r="BN207" s="178"/>
      <c r="BO207" s="178"/>
      <c r="BP207" s="178"/>
      <c r="BQ207" s="178"/>
      <c r="BR207" s="178"/>
      <c r="BS207" s="178"/>
      <c r="BT207" s="178"/>
      <c r="BU207" s="178"/>
    </row>
    <row r="208" spans="2:73" ht="15" customHeight="1" x14ac:dyDescent="0.25">
      <c r="B208" s="178"/>
      <c r="C208" s="179"/>
      <c r="D208" s="178"/>
      <c r="E208" s="178"/>
      <c r="F208" s="178"/>
      <c r="G208" s="178"/>
      <c r="H208" s="178"/>
      <c r="I208" s="178"/>
      <c r="J208" s="178"/>
      <c r="K208" s="178"/>
      <c r="L208" s="178"/>
      <c r="M208" s="178"/>
      <c r="N208" s="178"/>
      <c r="O208" s="178"/>
      <c r="P208" s="178"/>
      <c r="Q208" s="178"/>
      <c r="R208" s="178"/>
      <c r="S208" s="178"/>
      <c r="T208" s="178"/>
      <c r="U208" s="178"/>
      <c r="V208" s="178"/>
      <c r="W208" s="178"/>
      <c r="X208" s="178"/>
      <c r="Y208" s="178"/>
      <c r="Z208" s="178"/>
      <c r="AA208" s="178"/>
      <c r="AB208" s="178"/>
      <c r="AC208" s="178"/>
      <c r="AD208" s="178"/>
      <c r="AE208" s="178"/>
      <c r="AF208" s="178"/>
      <c r="AG208" s="178"/>
      <c r="AH208" s="178"/>
      <c r="AI208" s="178"/>
      <c r="AJ208" s="178"/>
      <c r="AK208" s="178"/>
      <c r="AL208" s="178"/>
      <c r="AM208" s="178"/>
      <c r="AN208" s="178"/>
      <c r="AO208" s="178"/>
      <c r="AP208" s="178"/>
      <c r="AQ208" s="178"/>
      <c r="AR208" s="178"/>
      <c r="AS208" s="178"/>
      <c r="AT208" s="178"/>
      <c r="AU208" s="178"/>
      <c r="AV208" s="178"/>
      <c r="AW208" s="178"/>
      <c r="AX208" s="178"/>
      <c r="AY208" s="178"/>
      <c r="AZ208" s="178"/>
      <c r="BA208" s="178"/>
      <c r="BB208" s="178"/>
      <c r="BC208" s="178"/>
      <c r="BD208" s="178"/>
      <c r="BE208" s="178"/>
      <c r="BF208" s="178"/>
      <c r="BG208" s="178"/>
      <c r="BH208" s="178"/>
      <c r="BI208" s="178"/>
      <c r="BJ208" s="178"/>
      <c r="BK208" s="178"/>
      <c r="BL208" s="178"/>
      <c r="BM208" s="178"/>
      <c r="BN208" s="178"/>
      <c r="BO208" s="178"/>
      <c r="BP208" s="178"/>
      <c r="BQ208" s="178"/>
      <c r="BR208" s="178"/>
      <c r="BS208" s="178"/>
      <c r="BT208" s="178"/>
      <c r="BU208" s="178"/>
    </row>
    <row r="209" spans="2:73" ht="15" customHeight="1" x14ac:dyDescent="0.25">
      <c r="B209" s="178"/>
      <c r="C209" s="179"/>
      <c r="D209" s="178"/>
      <c r="E209" s="178"/>
      <c r="F209" s="178"/>
      <c r="G209" s="178"/>
      <c r="H209" s="178"/>
      <c r="I209" s="178"/>
      <c r="J209" s="178"/>
      <c r="K209" s="178"/>
      <c r="L209" s="178"/>
      <c r="M209" s="178"/>
      <c r="N209" s="178"/>
      <c r="O209" s="178"/>
      <c r="P209" s="178"/>
      <c r="Q209" s="178"/>
      <c r="R209" s="178"/>
      <c r="S209" s="178"/>
      <c r="T209" s="178"/>
      <c r="U209" s="178"/>
      <c r="V209" s="178"/>
      <c r="W209" s="178"/>
      <c r="X209" s="178"/>
      <c r="Y209" s="178"/>
      <c r="Z209" s="178"/>
      <c r="AA209" s="178"/>
      <c r="AB209" s="178"/>
      <c r="AC209" s="178"/>
      <c r="AD209" s="178"/>
      <c r="AE209" s="178"/>
      <c r="AF209" s="178"/>
      <c r="AG209" s="178"/>
      <c r="AH209" s="178"/>
      <c r="AI209" s="178"/>
      <c r="AJ209" s="178"/>
      <c r="AK209" s="178"/>
      <c r="AL209" s="178"/>
      <c r="AM209" s="178"/>
      <c r="AN209" s="178"/>
      <c r="AO209" s="178"/>
      <c r="AP209" s="178"/>
      <c r="AQ209" s="178"/>
      <c r="AR209" s="178"/>
      <c r="AS209" s="178"/>
      <c r="AT209" s="178"/>
      <c r="AU209" s="178"/>
      <c r="AV209" s="178"/>
      <c r="AW209" s="178"/>
      <c r="AX209" s="178"/>
      <c r="AY209" s="178"/>
      <c r="AZ209" s="178"/>
      <c r="BA209" s="178"/>
      <c r="BB209" s="178"/>
      <c r="BC209" s="178"/>
      <c r="BD209" s="178"/>
      <c r="BE209" s="178"/>
      <c r="BF209" s="178"/>
      <c r="BG209" s="178"/>
      <c r="BH209" s="178"/>
      <c r="BI209" s="178"/>
      <c r="BJ209" s="178"/>
      <c r="BK209" s="178"/>
      <c r="BL209" s="178"/>
      <c r="BM209" s="178"/>
      <c r="BN209" s="178"/>
      <c r="BO209" s="178"/>
      <c r="BP209" s="178"/>
      <c r="BQ209" s="178"/>
      <c r="BR209" s="178"/>
      <c r="BS209" s="178"/>
      <c r="BT209" s="178"/>
      <c r="BU209" s="178"/>
    </row>
    <row r="210" spans="2:73" ht="15" customHeight="1" x14ac:dyDescent="0.25">
      <c r="B210" s="178"/>
      <c r="C210" s="179"/>
      <c r="D210" s="178"/>
      <c r="E210" s="178"/>
      <c r="F210" s="178"/>
      <c r="G210" s="178"/>
      <c r="H210" s="178"/>
      <c r="I210" s="178"/>
      <c r="J210" s="178"/>
      <c r="K210" s="178"/>
      <c r="L210" s="178"/>
      <c r="M210" s="178"/>
      <c r="N210" s="178"/>
      <c r="O210" s="178"/>
      <c r="P210" s="178"/>
      <c r="Q210" s="178"/>
      <c r="R210" s="178"/>
      <c r="S210" s="178"/>
      <c r="T210" s="178"/>
      <c r="U210" s="178"/>
      <c r="V210" s="178"/>
      <c r="W210" s="178"/>
      <c r="X210" s="178"/>
      <c r="Y210" s="178"/>
      <c r="Z210" s="178"/>
      <c r="AA210" s="178"/>
      <c r="AB210" s="178"/>
      <c r="AC210" s="178"/>
      <c r="AD210" s="178"/>
      <c r="AE210" s="178"/>
      <c r="AF210" s="178"/>
      <c r="AG210" s="178"/>
      <c r="AH210" s="178"/>
      <c r="AI210" s="178"/>
      <c r="AJ210" s="178"/>
      <c r="AK210" s="178"/>
      <c r="AL210" s="178"/>
      <c r="AM210" s="178"/>
      <c r="AN210" s="178"/>
      <c r="AO210" s="178"/>
      <c r="AP210" s="178"/>
      <c r="AQ210" s="178"/>
      <c r="AR210" s="178"/>
      <c r="AS210" s="178"/>
      <c r="AT210" s="178"/>
      <c r="AU210" s="178"/>
      <c r="AV210" s="178"/>
      <c r="AW210" s="178"/>
      <c r="AX210" s="178"/>
      <c r="AY210" s="178"/>
      <c r="AZ210" s="178"/>
      <c r="BA210" s="178"/>
      <c r="BB210" s="178"/>
      <c r="BC210" s="178"/>
      <c r="BD210" s="178"/>
      <c r="BE210" s="178"/>
      <c r="BF210" s="178"/>
      <c r="BG210" s="178"/>
      <c r="BH210" s="178"/>
      <c r="BI210" s="178"/>
      <c r="BJ210" s="178"/>
      <c r="BK210" s="178"/>
      <c r="BL210" s="178"/>
      <c r="BM210" s="178"/>
      <c r="BN210" s="178"/>
      <c r="BO210" s="178"/>
      <c r="BP210" s="178"/>
      <c r="BQ210" s="178"/>
      <c r="BR210" s="178"/>
      <c r="BS210" s="178"/>
      <c r="BT210" s="178"/>
      <c r="BU210" s="178"/>
    </row>
    <row r="211" spans="2:73" ht="15" customHeight="1" x14ac:dyDescent="0.25">
      <c r="B211" s="178"/>
      <c r="C211" s="179"/>
      <c r="D211" s="178"/>
      <c r="E211" s="178"/>
      <c r="F211" s="178"/>
      <c r="G211" s="178"/>
      <c r="H211" s="178"/>
      <c r="I211" s="178"/>
      <c r="J211" s="178"/>
      <c r="K211" s="178"/>
      <c r="L211" s="178"/>
      <c r="M211" s="178"/>
      <c r="N211" s="178"/>
      <c r="O211" s="178"/>
      <c r="P211" s="178"/>
      <c r="Q211" s="178"/>
      <c r="R211" s="178"/>
      <c r="S211" s="178"/>
      <c r="T211" s="178"/>
      <c r="U211" s="178"/>
      <c r="V211" s="178"/>
      <c r="W211" s="178"/>
      <c r="X211" s="178"/>
      <c r="Y211" s="178"/>
      <c r="Z211" s="178"/>
      <c r="AA211" s="178"/>
      <c r="AB211" s="178"/>
      <c r="AC211" s="178"/>
      <c r="AD211" s="178"/>
      <c r="AE211" s="178"/>
      <c r="AF211" s="178"/>
      <c r="AG211" s="178"/>
      <c r="AH211" s="178"/>
      <c r="AI211" s="178"/>
      <c r="AJ211" s="178"/>
      <c r="AK211" s="178"/>
      <c r="AL211" s="178"/>
      <c r="AM211" s="178"/>
      <c r="AN211" s="178"/>
      <c r="AO211" s="178"/>
      <c r="AP211" s="178"/>
      <c r="AQ211" s="178"/>
      <c r="AR211" s="178"/>
      <c r="AS211" s="178"/>
      <c r="AT211" s="178"/>
      <c r="AU211" s="178"/>
      <c r="AV211" s="178"/>
      <c r="AW211" s="178"/>
      <c r="AX211" s="178"/>
      <c r="AY211" s="178"/>
      <c r="AZ211" s="178"/>
      <c r="BA211" s="178"/>
      <c r="BB211" s="178"/>
      <c r="BC211" s="178"/>
      <c r="BD211" s="178"/>
      <c r="BE211" s="178"/>
      <c r="BF211" s="178"/>
      <c r="BG211" s="178"/>
      <c r="BH211" s="178"/>
      <c r="BI211" s="178"/>
      <c r="BJ211" s="178"/>
      <c r="BK211" s="178"/>
      <c r="BL211" s="178"/>
      <c r="BM211" s="178"/>
      <c r="BN211" s="178"/>
      <c r="BO211" s="178"/>
      <c r="BP211" s="178"/>
      <c r="BQ211" s="178"/>
      <c r="BR211" s="178"/>
      <c r="BS211" s="178"/>
      <c r="BT211" s="178"/>
      <c r="BU211" s="178"/>
    </row>
    <row r="212" spans="2:73" ht="15" customHeight="1" x14ac:dyDescent="0.25">
      <c r="B212" s="178"/>
      <c r="C212" s="179"/>
      <c r="D212" s="178"/>
      <c r="E212" s="178"/>
      <c r="F212" s="178"/>
      <c r="G212" s="178"/>
      <c r="H212" s="178"/>
      <c r="I212" s="178"/>
      <c r="J212" s="178"/>
      <c r="K212" s="178"/>
      <c r="L212" s="178"/>
      <c r="M212" s="178"/>
      <c r="N212" s="178"/>
      <c r="O212" s="178"/>
      <c r="P212" s="178"/>
      <c r="Q212" s="178"/>
      <c r="R212" s="178"/>
      <c r="S212" s="178"/>
      <c r="T212" s="178"/>
      <c r="U212" s="178"/>
      <c r="V212" s="178"/>
      <c r="W212" s="178"/>
      <c r="X212" s="178"/>
      <c r="Y212" s="178"/>
      <c r="Z212" s="178"/>
      <c r="AA212" s="178"/>
      <c r="AB212" s="178"/>
      <c r="AC212" s="178"/>
      <c r="AD212" s="178"/>
      <c r="AE212" s="178"/>
      <c r="AF212" s="178"/>
      <c r="AG212" s="178"/>
      <c r="AH212" s="178"/>
      <c r="AI212" s="178"/>
      <c r="AJ212" s="178"/>
      <c r="AK212" s="178"/>
      <c r="AL212" s="178"/>
      <c r="AM212" s="178"/>
      <c r="AN212" s="178"/>
      <c r="AO212" s="178"/>
      <c r="AP212" s="178"/>
      <c r="AQ212" s="178"/>
      <c r="AR212" s="178"/>
      <c r="AS212" s="178"/>
      <c r="AT212" s="178"/>
      <c r="AU212" s="178"/>
      <c r="AV212" s="178"/>
      <c r="AW212" s="178"/>
      <c r="AX212" s="178"/>
      <c r="AY212" s="178"/>
      <c r="AZ212" s="178"/>
      <c r="BA212" s="178"/>
      <c r="BB212" s="178"/>
      <c r="BC212" s="178"/>
      <c r="BD212" s="178"/>
      <c r="BE212" s="178"/>
      <c r="BF212" s="178"/>
      <c r="BG212" s="178"/>
      <c r="BH212" s="178"/>
      <c r="BI212" s="178"/>
      <c r="BJ212" s="178"/>
      <c r="BK212" s="178"/>
      <c r="BL212" s="178"/>
      <c r="BM212" s="178"/>
      <c r="BN212" s="178"/>
      <c r="BO212" s="178"/>
      <c r="BP212" s="178"/>
      <c r="BQ212" s="178"/>
      <c r="BR212" s="178"/>
      <c r="BS212" s="178"/>
      <c r="BT212" s="178"/>
      <c r="BU212" s="178"/>
    </row>
    <row r="213" spans="2:73" ht="15" customHeight="1" x14ac:dyDescent="0.25">
      <c r="B213" s="178"/>
      <c r="C213" s="179"/>
      <c r="D213" s="178"/>
      <c r="E213" s="178"/>
      <c r="F213" s="178"/>
      <c r="G213" s="178"/>
      <c r="H213" s="178"/>
      <c r="I213" s="178"/>
      <c r="J213" s="178"/>
      <c r="K213" s="178"/>
      <c r="L213" s="178"/>
      <c r="M213" s="178"/>
      <c r="N213" s="178"/>
      <c r="O213" s="178"/>
      <c r="P213" s="178"/>
      <c r="Q213" s="178"/>
      <c r="R213" s="178"/>
      <c r="S213" s="178"/>
      <c r="T213" s="178"/>
      <c r="U213" s="178"/>
      <c r="V213" s="178"/>
      <c r="W213" s="178"/>
      <c r="X213" s="178"/>
      <c r="Y213" s="178"/>
      <c r="Z213" s="178"/>
      <c r="AA213" s="178"/>
      <c r="AB213" s="178"/>
      <c r="AC213" s="178"/>
      <c r="AD213" s="178"/>
      <c r="AE213" s="178"/>
      <c r="AF213" s="178"/>
      <c r="AG213" s="178"/>
      <c r="AH213" s="178"/>
      <c r="AI213" s="178"/>
      <c r="AJ213" s="178"/>
      <c r="AK213" s="178"/>
      <c r="AL213" s="178"/>
      <c r="AM213" s="178"/>
      <c r="AN213" s="178"/>
      <c r="AO213" s="178"/>
      <c r="AP213" s="178"/>
      <c r="AQ213" s="178"/>
      <c r="AR213" s="178"/>
      <c r="AS213" s="178"/>
      <c r="AT213" s="178"/>
      <c r="AU213" s="178"/>
      <c r="AV213" s="178"/>
      <c r="AW213" s="178"/>
      <c r="AX213" s="178"/>
      <c r="AY213" s="178"/>
      <c r="AZ213" s="178"/>
      <c r="BA213" s="178"/>
      <c r="BB213" s="178"/>
      <c r="BC213" s="178"/>
      <c r="BD213" s="178"/>
      <c r="BE213" s="178"/>
      <c r="BF213" s="178"/>
      <c r="BG213" s="178"/>
      <c r="BH213" s="178"/>
      <c r="BI213" s="178"/>
      <c r="BJ213" s="178"/>
      <c r="BK213" s="178"/>
      <c r="BL213" s="178"/>
      <c r="BM213" s="178"/>
      <c r="BN213" s="178"/>
      <c r="BO213" s="178"/>
      <c r="BP213" s="178"/>
      <c r="BQ213" s="178"/>
      <c r="BR213" s="178"/>
      <c r="BS213" s="178"/>
      <c r="BT213" s="178"/>
      <c r="BU213" s="178"/>
    </row>
    <row r="214" spans="2:73" ht="15" customHeight="1" x14ac:dyDescent="0.25">
      <c r="B214" s="178"/>
      <c r="C214" s="179"/>
      <c r="D214" s="178"/>
      <c r="E214" s="178"/>
      <c r="F214" s="178"/>
      <c r="G214" s="178"/>
      <c r="H214" s="178"/>
      <c r="I214" s="178"/>
      <c r="J214" s="178"/>
      <c r="K214" s="178"/>
      <c r="L214" s="178"/>
      <c r="M214" s="178"/>
      <c r="N214" s="178"/>
      <c r="O214" s="178"/>
      <c r="P214" s="178"/>
      <c r="Q214" s="178"/>
      <c r="R214" s="178"/>
      <c r="S214" s="178"/>
      <c r="T214" s="178"/>
      <c r="U214" s="178"/>
      <c r="V214" s="178"/>
      <c r="W214" s="178"/>
      <c r="X214" s="178"/>
      <c r="Y214" s="178"/>
      <c r="Z214" s="178"/>
      <c r="AA214" s="178"/>
      <c r="AB214" s="178"/>
      <c r="AC214" s="178"/>
      <c r="AD214" s="178"/>
      <c r="AE214" s="178"/>
      <c r="AF214" s="178"/>
      <c r="AG214" s="178"/>
      <c r="AH214" s="178"/>
      <c r="AI214" s="178"/>
      <c r="AJ214" s="178"/>
      <c r="AK214" s="178"/>
      <c r="AL214" s="178"/>
      <c r="AM214" s="178"/>
      <c r="AN214" s="178"/>
      <c r="AO214" s="178"/>
      <c r="AP214" s="178"/>
      <c r="AQ214" s="178"/>
      <c r="AR214" s="178"/>
      <c r="AS214" s="178"/>
      <c r="AT214" s="178"/>
      <c r="AU214" s="178"/>
      <c r="AV214" s="178"/>
      <c r="AW214" s="178"/>
      <c r="AX214" s="178"/>
      <c r="AY214" s="178"/>
      <c r="AZ214" s="178"/>
      <c r="BA214" s="178"/>
      <c r="BB214" s="178"/>
      <c r="BC214" s="178"/>
      <c r="BD214" s="178"/>
      <c r="BE214" s="178"/>
      <c r="BF214" s="178"/>
      <c r="BG214" s="178"/>
      <c r="BH214" s="178"/>
      <c r="BI214" s="178"/>
      <c r="BJ214" s="178"/>
      <c r="BK214" s="178"/>
      <c r="BL214" s="178"/>
      <c r="BM214" s="178"/>
      <c r="BN214" s="178"/>
      <c r="BO214" s="178"/>
      <c r="BP214" s="178"/>
      <c r="BQ214" s="178"/>
      <c r="BR214" s="178"/>
      <c r="BS214" s="178"/>
      <c r="BT214" s="178"/>
      <c r="BU214" s="178"/>
    </row>
    <row r="215" spans="2:73" ht="15" customHeight="1" x14ac:dyDescent="0.25">
      <c r="B215" s="178"/>
      <c r="C215" s="179"/>
      <c r="D215" s="178"/>
      <c r="E215" s="178"/>
      <c r="F215" s="178"/>
      <c r="G215" s="178"/>
      <c r="H215" s="178"/>
      <c r="I215" s="178"/>
      <c r="J215" s="178"/>
      <c r="K215" s="178"/>
      <c r="L215" s="178"/>
      <c r="M215" s="178"/>
      <c r="N215" s="178"/>
      <c r="O215" s="178"/>
      <c r="P215" s="178"/>
      <c r="Q215" s="178"/>
      <c r="R215" s="178"/>
      <c r="S215" s="178"/>
      <c r="T215" s="178"/>
      <c r="U215" s="178"/>
      <c r="V215" s="178"/>
      <c r="W215" s="178"/>
      <c r="X215" s="178"/>
      <c r="Y215" s="178"/>
      <c r="Z215" s="178"/>
      <c r="AA215" s="178"/>
      <c r="AB215" s="178"/>
      <c r="AC215" s="178"/>
      <c r="AD215" s="178"/>
      <c r="AE215" s="178"/>
      <c r="AF215" s="178"/>
      <c r="AG215" s="178"/>
      <c r="AH215" s="178"/>
      <c r="AI215" s="178"/>
      <c r="AJ215" s="178"/>
      <c r="AK215" s="178"/>
      <c r="AL215" s="178"/>
      <c r="AM215" s="178"/>
      <c r="AN215" s="178"/>
      <c r="AO215" s="178"/>
      <c r="AP215" s="178"/>
      <c r="AQ215" s="178"/>
      <c r="AR215" s="178"/>
      <c r="AS215" s="178"/>
      <c r="AT215" s="178"/>
      <c r="AU215" s="178"/>
      <c r="AV215" s="178"/>
      <c r="AW215" s="178"/>
      <c r="AX215" s="178"/>
      <c r="AY215" s="178"/>
      <c r="AZ215" s="178"/>
      <c r="BA215" s="178"/>
      <c r="BB215" s="178"/>
      <c r="BC215" s="178"/>
      <c r="BD215" s="178"/>
      <c r="BE215" s="178"/>
      <c r="BF215" s="178"/>
      <c r="BG215" s="178"/>
      <c r="BH215" s="178"/>
      <c r="BI215" s="178"/>
      <c r="BJ215" s="178"/>
      <c r="BK215" s="178"/>
      <c r="BL215" s="178"/>
      <c r="BM215" s="178"/>
      <c r="BN215" s="178"/>
      <c r="BO215" s="178"/>
      <c r="BP215" s="178"/>
      <c r="BQ215" s="178"/>
      <c r="BR215" s="178"/>
      <c r="BS215" s="178"/>
      <c r="BT215" s="178"/>
      <c r="BU215" s="178"/>
    </row>
    <row r="216" spans="2:73" ht="15" customHeight="1" x14ac:dyDescent="0.25">
      <c r="B216" s="178"/>
      <c r="C216" s="179"/>
      <c r="D216" s="178"/>
      <c r="E216" s="178"/>
      <c r="F216" s="178"/>
      <c r="G216" s="178"/>
      <c r="H216" s="178"/>
      <c r="I216" s="178"/>
      <c r="J216" s="178"/>
      <c r="K216" s="178"/>
      <c r="L216" s="178"/>
      <c r="M216" s="178"/>
      <c r="N216" s="178"/>
      <c r="O216" s="178"/>
      <c r="P216" s="178"/>
      <c r="Q216" s="178"/>
      <c r="R216" s="178"/>
      <c r="S216" s="178"/>
      <c r="T216" s="178"/>
      <c r="U216" s="178"/>
      <c r="V216" s="178"/>
      <c r="W216" s="178"/>
      <c r="X216" s="178"/>
      <c r="Y216" s="178"/>
      <c r="Z216" s="178"/>
      <c r="AA216" s="178"/>
      <c r="AB216" s="178"/>
      <c r="AC216" s="178"/>
      <c r="AD216" s="178"/>
      <c r="AE216" s="178"/>
      <c r="AF216" s="178"/>
      <c r="AG216" s="178"/>
      <c r="AH216" s="178"/>
      <c r="AI216" s="178"/>
      <c r="AJ216" s="178"/>
      <c r="AK216" s="178"/>
      <c r="AL216" s="178"/>
      <c r="AM216" s="178"/>
      <c r="AN216" s="178"/>
      <c r="AO216" s="178"/>
      <c r="AP216" s="178"/>
      <c r="AQ216" s="178"/>
      <c r="AR216" s="178"/>
      <c r="AS216" s="178"/>
      <c r="AT216" s="178"/>
      <c r="AU216" s="178"/>
      <c r="AV216" s="178"/>
      <c r="AW216" s="178"/>
      <c r="AX216" s="178"/>
      <c r="AY216" s="178"/>
      <c r="AZ216" s="178"/>
      <c r="BA216" s="178"/>
      <c r="BB216" s="178"/>
      <c r="BC216" s="178"/>
      <c r="BD216" s="178"/>
      <c r="BE216" s="178"/>
      <c r="BF216" s="178"/>
      <c r="BG216" s="178"/>
      <c r="BH216" s="178"/>
      <c r="BI216" s="178"/>
      <c r="BJ216" s="178"/>
      <c r="BK216" s="178"/>
      <c r="BL216" s="178"/>
      <c r="BM216" s="178"/>
      <c r="BN216" s="178"/>
      <c r="BO216" s="178"/>
      <c r="BP216" s="178"/>
      <c r="BQ216" s="178"/>
      <c r="BR216" s="178"/>
      <c r="BS216" s="178"/>
      <c r="BT216" s="178"/>
      <c r="BU216" s="178"/>
    </row>
    <row r="217" spans="2:73" ht="15" customHeight="1" x14ac:dyDescent="0.25">
      <c r="B217" s="178"/>
      <c r="C217" s="179"/>
      <c r="D217" s="178"/>
      <c r="E217" s="178"/>
      <c r="F217" s="178"/>
      <c r="G217" s="178"/>
      <c r="H217" s="178"/>
      <c r="I217" s="178"/>
      <c r="J217" s="178"/>
      <c r="K217" s="178"/>
      <c r="L217" s="178"/>
      <c r="M217" s="178"/>
      <c r="N217" s="178"/>
      <c r="O217" s="178"/>
      <c r="P217" s="178"/>
      <c r="Q217" s="178"/>
      <c r="R217" s="178"/>
      <c r="S217" s="178"/>
      <c r="T217" s="178"/>
      <c r="U217" s="178"/>
      <c r="V217" s="178"/>
      <c r="W217" s="178"/>
      <c r="X217" s="178"/>
      <c r="Y217" s="178"/>
      <c r="Z217" s="178"/>
      <c r="AA217" s="178"/>
      <c r="AB217" s="178"/>
      <c r="AC217" s="178"/>
      <c r="AD217" s="178"/>
      <c r="AE217" s="178"/>
      <c r="AF217" s="178"/>
      <c r="AG217" s="178"/>
      <c r="AH217" s="178"/>
      <c r="AI217" s="178"/>
      <c r="AJ217" s="178"/>
      <c r="AK217" s="178"/>
      <c r="AL217" s="178"/>
      <c r="AM217" s="178"/>
      <c r="AN217" s="178"/>
      <c r="AO217" s="178"/>
      <c r="AP217" s="178"/>
      <c r="AQ217" s="178"/>
      <c r="AR217" s="178"/>
      <c r="AS217" s="178"/>
      <c r="AT217" s="178"/>
      <c r="AU217" s="178"/>
      <c r="AV217" s="178"/>
      <c r="AW217" s="178"/>
      <c r="AX217" s="178"/>
      <c r="AY217" s="178"/>
      <c r="AZ217" s="178"/>
      <c r="BA217" s="178"/>
      <c r="BB217" s="178"/>
      <c r="BC217" s="178"/>
      <c r="BD217" s="178"/>
      <c r="BE217" s="178"/>
      <c r="BF217" s="178"/>
      <c r="BG217" s="178"/>
      <c r="BH217" s="178"/>
      <c r="BI217" s="178"/>
      <c r="BJ217" s="178"/>
      <c r="BK217" s="178"/>
      <c r="BL217" s="178"/>
      <c r="BM217" s="178"/>
      <c r="BN217" s="178"/>
      <c r="BO217" s="178"/>
      <c r="BP217" s="178"/>
      <c r="BQ217" s="178"/>
      <c r="BR217" s="178"/>
      <c r="BS217" s="178"/>
      <c r="BT217" s="178"/>
      <c r="BU217" s="178"/>
    </row>
    <row r="218" spans="2:73" ht="15" customHeight="1" x14ac:dyDescent="0.25">
      <c r="B218" s="178"/>
      <c r="C218" s="179"/>
      <c r="D218" s="178"/>
      <c r="E218" s="178"/>
      <c r="F218" s="178"/>
      <c r="G218" s="178"/>
      <c r="H218" s="178"/>
      <c r="I218" s="178"/>
      <c r="J218" s="178"/>
      <c r="K218" s="178"/>
      <c r="L218" s="178"/>
      <c r="M218" s="178"/>
      <c r="N218" s="178"/>
      <c r="O218" s="178"/>
      <c r="P218" s="178"/>
      <c r="Q218" s="178"/>
      <c r="R218" s="178"/>
      <c r="S218" s="178"/>
      <c r="T218" s="178"/>
      <c r="U218" s="178"/>
      <c r="V218" s="178"/>
      <c r="W218" s="178"/>
      <c r="X218" s="178"/>
      <c r="Y218" s="178"/>
      <c r="Z218" s="178"/>
      <c r="AA218" s="178"/>
      <c r="AB218" s="178"/>
      <c r="AC218" s="178"/>
      <c r="AD218" s="178"/>
      <c r="AE218" s="178"/>
      <c r="AF218" s="178"/>
      <c r="AG218" s="178"/>
      <c r="AH218" s="178"/>
      <c r="AI218" s="178"/>
      <c r="AJ218" s="178"/>
      <c r="AK218" s="178"/>
      <c r="AL218" s="178"/>
      <c r="AM218" s="178"/>
      <c r="AN218" s="178"/>
      <c r="AO218" s="178"/>
      <c r="AP218" s="178"/>
      <c r="AQ218" s="178"/>
      <c r="AR218" s="178"/>
      <c r="AS218" s="178"/>
      <c r="AT218" s="178"/>
      <c r="AU218" s="178"/>
      <c r="AV218" s="178"/>
      <c r="AW218" s="178"/>
      <c r="AX218" s="178"/>
      <c r="AY218" s="178"/>
      <c r="AZ218" s="178"/>
      <c r="BA218" s="178"/>
      <c r="BB218" s="178"/>
      <c r="BC218" s="178"/>
      <c r="BD218" s="178"/>
      <c r="BE218" s="178"/>
      <c r="BF218" s="178"/>
      <c r="BG218" s="178"/>
      <c r="BH218" s="178"/>
      <c r="BI218" s="178"/>
      <c r="BJ218" s="178"/>
      <c r="BK218" s="178"/>
      <c r="BL218" s="178"/>
      <c r="BM218" s="178"/>
      <c r="BN218" s="178"/>
      <c r="BO218" s="178"/>
      <c r="BP218" s="178"/>
      <c r="BQ218" s="178"/>
      <c r="BR218" s="178"/>
      <c r="BS218" s="178"/>
      <c r="BT218" s="178"/>
      <c r="BU218" s="178"/>
    </row>
    <row r="219" spans="2:73" ht="15" customHeight="1" x14ac:dyDescent="0.25">
      <c r="B219" s="178"/>
      <c r="C219" s="179"/>
      <c r="D219" s="178"/>
      <c r="E219" s="178"/>
      <c r="F219" s="178"/>
      <c r="G219" s="178"/>
      <c r="H219" s="178"/>
      <c r="I219" s="178"/>
      <c r="J219" s="178"/>
      <c r="K219" s="178"/>
      <c r="L219" s="178"/>
      <c r="M219" s="178"/>
      <c r="N219" s="178"/>
      <c r="O219" s="178"/>
      <c r="P219" s="178"/>
      <c r="Q219" s="178"/>
      <c r="R219" s="178"/>
      <c r="S219" s="178"/>
      <c r="T219" s="178"/>
      <c r="U219" s="178"/>
      <c r="V219" s="178"/>
      <c r="W219" s="178"/>
      <c r="X219" s="178"/>
      <c r="Y219" s="178"/>
      <c r="Z219" s="178"/>
      <c r="AA219" s="178"/>
      <c r="AB219" s="178"/>
      <c r="AC219" s="178"/>
      <c r="AD219" s="178"/>
      <c r="AE219" s="178"/>
      <c r="AF219" s="178"/>
      <c r="AG219" s="178"/>
      <c r="AH219" s="178"/>
      <c r="AI219" s="178"/>
      <c r="AJ219" s="178"/>
      <c r="AK219" s="178"/>
      <c r="AL219" s="178"/>
      <c r="AM219" s="178"/>
      <c r="AN219" s="178"/>
      <c r="AO219" s="178"/>
      <c r="AP219" s="178"/>
      <c r="AQ219" s="178"/>
      <c r="AR219" s="178"/>
      <c r="AS219" s="178"/>
      <c r="AT219" s="178"/>
      <c r="AU219" s="178"/>
      <c r="AV219" s="178"/>
      <c r="AW219" s="178"/>
      <c r="AX219" s="178"/>
      <c r="AY219" s="178"/>
      <c r="AZ219" s="178"/>
      <c r="BA219" s="178"/>
      <c r="BB219" s="178"/>
      <c r="BC219" s="178"/>
      <c r="BD219" s="178"/>
      <c r="BE219" s="178"/>
      <c r="BF219" s="178"/>
      <c r="BG219" s="178"/>
      <c r="BH219" s="178"/>
      <c r="BI219" s="178"/>
      <c r="BJ219" s="178"/>
      <c r="BK219" s="178"/>
      <c r="BL219" s="178"/>
      <c r="BM219" s="178"/>
      <c r="BN219" s="178"/>
      <c r="BO219" s="178"/>
      <c r="BP219" s="178"/>
      <c r="BQ219" s="178"/>
      <c r="BR219" s="178"/>
      <c r="BS219" s="178"/>
      <c r="BT219" s="178"/>
      <c r="BU219" s="178"/>
    </row>
    <row r="220" spans="2:73" ht="15" customHeight="1" x14ac:dyDescent="0.25">
      <c r="B220" s="178"/>
      <c r="C220" s="179"/>
      <c r="D220" s="178"/>
      <c r="E220" s="178"/>
      <c r="F220" s="178"/>
      <c r="G220" s="178"/>
      <c r="H220" s="178"/>
      <c r="I220" s="178"/>
      <c r="J220" s="178"/>
      <c r="K220" s="178"/>
      <c r="L220" s="178"/>
      <c r="M220" s="178"/>
      <c r="N220" s="178"/>
      <c r="O220" s="178"/>
      <c r="P220" s="178"/>
      <c r="Q220" s="178"/>
      <c r="R220" s="178"/>
      <c r="S220" s="178"/>
      <c r="T220" s="178"/>
      <c r="U220" s="178"/>
      <c r="V220" s="178"/>
      <c r="W220" s="178"/>
      <c r="X220" s="178"/>
      <c r="Y220" s="178"/>
      <c r="Z220" s="178"/>
      <c r="AA220" s="178"/>
      <c r="AB220" s="178"/>
      <c r="AC220" s="178"/>
      <c r="AD220" s="178"/>
      <c r="AE220" s="178"/>
      <c r="AF220" s="178"/>
      <c r="AG220" s="178"/>
      <c r="AH220" s="178"/>
      <c r="AI220" s="178"/>
      <c r="AJ220" s="178"/>
      <c r="AK220" s="178"/>
      <c r="AL220" s="178"/>
      <c r="AM220" s="178"/>
      <c r="AN220" s="178"/>
      <c r="AO220" s="178"/>
      <c r="AP220" s="178"/>
      <c r="AQ220" s="178"/>
      <c r="AR220" s="178"/>
      <c r="AS220" s="178"/>
      <c r="AT220" s="178"/>
      <c r="AU220" s="178"/>
      <c r="AV220" s="178"/>
      <c r="AW220" s="178"/>
      <c r="AX220" s="178"/>
      <c r="AY220" s="178"/>
      <c r="AZ220" s="178"/>
      <c r="BA220" s="178"/>
      <c r="BB220" s="178"/>
      <c r="BC220" s="178"/>
      <c r="BD220" s="178"/>
      <c r="BE220" s="178"/>
      <c r="BF220" s="178"/>
      <c r="BG220" s="178"/>
      <c r="BH220" s="178"/>
      <c r="BI220" s="178"/>
      <c r="BJ220" s="178"/>
      <c r="BK220" s="178"/>
      <c r="BL220" s="178"/>
      <c r="BM220" s="178"/>
      <c r="BN220" s="178"/>
      <c r="BO220" s="178"/>
      <c r="BP220" s="178"/>
      <c r="BQ220" s="178"/>
      <c r="BR220" s="178"/>
      <c r="BS220" s="178"/>
      <c r="BT220" s="178"/>
      <c r="BU220" s="178"/>
    </row>
    <row r="221" spans="2:73" ht="15" customHeight="1" x14ac:dyDescent="0.25">
      <c r="B221" s="178"/>
      <c r="C221" s="179"/>
      <c r="D221" s="178"/>
      <c r="E221" s="178"/>
      <c r="F221" s="178"/>
      <c r="G221" s="178"/>
      <c r="H221" s="178"/>
      <c r="I221" s="178"/>
      <c r="J221" s="178"/>
      <c r="K221" s="178"/>
      <c r="L221" s="178"/>
      <c r="M221" s="178"/>
      <c r="N221" s="178"/>
      <c r="O221" s="178"/>
      <c r="P221" s="178"/>
      <c r="Q221" s="178"/>
      <c r="R221" s="178"/>
      <c r="S221" s="178"/>
      <c r="T221" s="178"/>
      <c r="U221" s="178"/>
      <c r="V221" s="178"/>
      <c r="W221" s="178"/>
      <c r="X221" s="178"/>
      <c r="Y221" s="178"/>
      <c r="Z221" s="178"/>
      <c r="AA221" s="178"/>
      <c r="AB221" s="178"/>
      <c r="AC221" s="178"/>
      <c r="AD221" s="178"/>
      <c r="AE221" s="178"/>
      <c r="AF221" s="178"/>
      <c r="AG221" s="178"/>
      <c r="AH221" s="178"/>
      <c r="AI221" s="178"/>
      <c r="AJ221" s="178"/>
      <c r="AK221" s="178"/>
      <c r="AL221" s="178"/>
      <c r="AM221" s="178"/>
      <c r="AN221" s="178"/>
      <c r="AO221" s="178"/>
      <c r="AP221" s="178"/>
      <c r="AQ221" s="178"/>
      <c r="AR221" s="178"/>
      <c r="AS221" s="178"/>
      <c r="AT221" s="178"/>
      <c r="AU221" s="178"/>
      <c r="AV221" s="178"/>
      <c r="AW221" s="178"/>
      <c r="AX221" s="178"/>
      <c r="AY221" s="178"/>
      <c r="AZ221" s="178"/>
      <c r="BA221" s="178"/>
      <c r="BB221" s="178"/>
      <c r="BC221" s="178"/>
      <c r="BD221" s="178"/>
      <c r="BE221" s="178"/>
      <c r="BF221" s="178"/>
      <c r="BG221" s="178"/>
      <c r="BH221" s="178"/>
      <c r="BI221" s="178"/>
      <c r="BJ221" s="178"/>
      <c r="BK221" s="178"/>
      <c r="BL221" s="178"/>
      <c r="BM221" s="178"/>
      <c r="BN221" s="178"/>
      <c r="BO221" s="178"/>
      <c r="BP221" s="178"/>
      <c r="BQ221" s="178"/>
      <c r="BR221" s="178"/>
      <c r="BS221" s="178"/>
      <c r="BT221" s="178"/>
      <c r="BU221" s="178"/>
    </row>
    <row r="222" spans="2:73" ht="15" customHeight="1" x14ac:dyDescent="0.25">
      <c r="B222" s="178"/>
      <c r="C222" s="179"/>
      <c r="D222" s="178"/>
      <c r="E222" s="178"/>
      <c r="F222" s="178"/>
      <c r="G222" s="178"/>
      <c r="H222" s="178"/>
      <c r="I222" s="178"/>
      <c r="J222" s="178"/>
      <c r="K222" s="178"/>
      <c r="L222" s="178"/>
      <c r="M222" s="178"/>
      <c r="N222" s="178"/>
      <c r="O222" s="178"/>
      <c r="P222" s="178"/>
      <c r="Q222" s="178"/>
      <c r="R222" s="178"/>
      <c r="S222" s="178"/>
      <c r="T222" s="178"/>
      <c r="U222" s="178"/>
      <c r="V222" s="178"/>
      <c r="W222" s="178"/>
      <c r="X222" s="178"/>
      <c r="Y222" s="178"/>
      <c r="Z222" s="178"/>
      <c r="AA222" s="178"/>
      <c r="AB222" s="178"/>
      <c r="AC222" s="178"/>
      <c r="AD222" s="178"/>
      <c r="AE222" s="178"/>
      <c r="AF222" s="178"/>
      <c r="AG222" s="178"/>
      <c r="AH222" s="178"/>
      <c r="AI222" s="178"/>
      <c r="AJ222" s="178"/>
      <c r="AK222" s="178"/>
      <c r="AL222" s="178"/>
      <c r="AM222" s="178"/>
      <c r="AN222" s="178"/>
      <c r="AO222" s="178"/>
      <c r="AP222" s="178"/>
      <c r="AQ222" s="178"/>
      <c r="AR222" s="178"/>
      <c r="AS222" s="178"/>
      <c r="AT222" s="178"/>
      <c r="AU222" s="178"/>
      <c r="AV222" s="178"/>
      <c r="AW222" s="178"/>
      <c r="AX222" s="178"/>
      <c r="AY222" s="178"/>
      <c r="AZ222" s="178"/>
      <c r="BA222" s="178"/>
      <c r="BB222" s="178"/>
      <c r="BC222" s="178"/>
      <c r="BD222" s="178"/>
      <c r="BE222" s="178"/>
      <c r="BF222" s="178"/>
      <c r="BG222" s="178"/>
      <c r="BH222" s="178"/>
      <c r="BI222" s="178"/>
      <c r="BJ222" s="178"/>
      <c r="BK222" s="178"/>
      <c r="BL222" s="178"/>
      <c r="BM222" s="178"/>
      <c r="BN222" s="178"/>
      <c r="BO222" s="178"/>
      <c r="BP222" s="178"/>
      <c r="BQ222" s="178"/>
      <c r="BR222" s="178"/>
      <c r="BS222" s="178"/>
      <c r="BT222" s="178"/>
      <c r="BU222" s="178"/>
    </row>
    <row r="223" spans="2:73" ht="15" customHeight="1" x14ac:dyDescent="0.25">
      <c r="B223" s="178"/>
      <c r="C223" s="179"/>
      <c r="D223" s="178"/>
      <c r="E223" s="178"/>
      <c r="F223" s="178"/>
      <c r="G223" s="178"/>
      <c r="H223" s="178"/>
      <c r="I223" s="178"/>
      <c r="J223" s="178"/>
      <c r="K223" s="178"/>
      <c r="L223" s="178"/>
      <c r="M223" s="178"/>
      <c r="N223" s="178"/>
      <c r="O223" s="178"/>
      <c r="P223" s="178"/>
      <c r="Q223" s="178"/>
      <c r="R223" s="178"/>
      <c r="S223" s="178"/>
      <c r="T223" s="178"/>
      <c r="U223" s="178"/>
      <c r="V223" s="178"/>
      <c r="W223" s="178"/>
      <c r="X223" s="178"/>
      <c r="Y223" s="178"/>
      <c r="Z223" s="178"/>
      <c r="AA223" s="178"/>
      <c r="AB223" s="178"/>
      <c r="AC223" s="178"/>
      <c r="AD223" s="178"/>
      <c r="AE223" s="178"/>
      <c r="AF223" s="178"/>
      <c r="AG223" s="178"/>
      <c r="AH223" s="178"/>
      <c r="AI223" s="178"/>
      <c r="AJ223" s="178"/>
      <c r="AK223" s="178"/>
      <c r="AL223" s="178"/>
      <c r="AM223" s="178"/>
      <c r="AN223" s="178"/>
      <c r="AO223" s="178"/>
      <c r="AP223" s="178"/>
      <c r="AQ223" s="178"/>
      <c r="AR223" s="178"/>
      <c r="AS223" s="178"/>
      <c r="AT223" s="178"/>
      <c r="AU223" s="178"/>
      <c r="AV223" s="178"/>
      <c r="AW223" s="178"/>
      <c r="AX223" s="178"/>
      <c r="AY223" s="178"/>
      <c r="AZ223" s="178"/>
      <c r="BA223" s="178"/>
      <c r="BB223" s="178"/>
      <c r="BC223" s="178"/>
      <c r="BD223" s="178"/>
      <c r="BE223" s="178"/>
      <c r="BF223" s="178"/>
      <c r="BG223" s="178"/>
      <c r="BH223" s="178"/>
      <c r="BI223" s="178"/>
      <c r="BJ223" s="178"/>
      <c r="BK223" s="178"/>
      <c r="BL223" s="178"/>
      <c r="BM223" s="178"/>
      <c r="BN223" s="178"/>
      <c r="BO223" s="178"/>
      <c r="BP223" s="178"/>
      <c r="BQ223" s="178"/>
      <c r="BR223" s="178"/>
      <c r="BS223" s="178"/>
      <c r="BT223" s="178"/>
      <c r="BU223" s="178"/>
    </row>
    <row r="224" spans="2:73" ht="15" customHeight="1" x14ac:dyDescent="0.25">
      <c r="B224" s="178"/>
      <c r="C224" s="179"/>
      <c r="D224" s="178"/>
      <c r="E224" s="178"/>
      <c r="F224" s="178"/>
      <c r="G224" s="178"/>
      <c r="H224" s="178"/>
      <c r="I224" s="178"/>
      <c r="J224" s="178"/>
      <c r="K224" s="178"/>
      <c r="L224" s="178"/>
      <c r="M224" s="178"/>
      <c r="N224" s="178"/>
      <c r="O224" s="178"/>
      <c r="P224" s="178"/>
      <c r="Q224" s="178"/>
      <c r="R224" s="178"/>
      <c r="S224" s="178"/>
      <c r="T224" s="178"/>
      <c r="U224" s="178"/>
      <c r="V224" s="178"/>
      <c r="W224" s="178"/>
      <c r="X224" s="178"/>
      <c r="Y224" s="178"/>
      <c r="Z224" s="178"/>
      <c r="AA224" s="178"/>
      <c r="AB224" s="178"/>
      <c r="AC224" s="178"/>
      <c r="AD224" s="178"/>
      <c r="AE224" s="178"/>
      <c r="AF224" s="178"/>
      <c r="AG224" s="178"/>
      <c r="AH224" s="178"/>
      <c r="AI224" s="178"/>
      <c r="AJ224" s="178"/>
      <c r="AK224" s="178"/>
      <c r="AL224" s="178"/>
      <c r="AM224" s="178"/>
      <c r="AN224" s="178"/>
      <c r="AO224" s="178"/>
      <c r="AP224" s="178"/>
      <c r="AQ224" s="178"/>
      <c r="AR224" s="178"/>
      <c r="AS224" s="178"/>
      <c r="AT224" s="178"/>
      <c r="AU224" s="178"/>
      <c r="AV224" s="178"/>
      <c r="AW224" s="178"/>
      <c r="AX224" s="178"/>
      <c r="AY224" s="178"/>
      <c r="AZ224" s="178"/>
      <c r="BA224" s="178"/>
      <c r="BB224" s="178"/>
      <c r="BC224" s="178"/>
      <c r="BD224" s="178"/>
      <c r="BE224" s="178"/>
      <c r="BF224" s="178"/>
      <c r="BG224" s="178"/>
      <c r="BH224" s="178"/>
      <c r="BI224" s="178"/>
      <c r="BJ224" s="178"/>
      <c r="BK224" s="178"/>
      <c r="BL224" s="178"/>
      <c r="BM224" s="178"/>
      <c r="BN224" s="178"/>
      <c r="BO224" s="178"/>
      <c r="BP224" s="178"/>
      <c r="BQ224" s="178"/>
      <c r="BR224" s="178"/>
      <c r="BS224" s="178"/>
      <c r="BT224" s="178"/>
      <c r="BU224" s="178"/>
    </row>
    <row r="225" spans="2:73" ht="15" customHeight="1" x14ac:dyDescent="0.25">
      <c r="B225" s="178"/>
      <c r="C225" s="179"/>
      <c r="D225" s="178"/>
      <c r="E225" s="178"/>
      <c r="F225" s="178"/>
      <c r="G225" s="178"/>
      <c r="H225" s="178"/>
      <c r="I225" s="178"/>
      <c r="J225" s="178"/>
      <c r="K225" s="178"/>
      <c r="L225" s="178"/>
      <c r="M225" s="178"/>
      <c r="N225" s="178"/>
      <c r="O225" s="178"/>
      <c r="P225" s="178"/>
      <c r="Q225" s="178"/>
      <c r="R225" s="178"/>
      <c r="S225" s="178"/>
      <c r="T225" s="178"/>
      <c r="U225" s="178"/>
      <c r="V225" s="178"/>
      <c r="W225" s="178"/>
      <c r="X225" s="178"/>
      <c r="Y225" s="178"/>
      <c r="Z225" s="178"/>
      <c r="AA225" s="178"/>
      <c r="AB225" s="178"/>
      <c r="AC225" s="178"/>
      <c r="AD225" s="178"/>
      <c r="AE225" s="178"/>
      <c r="AF225" s="178"/>
      <c r="AG225" s="178"/>
      <c r="AH225" s="178"/>
      <c r="AI225" s="178"/>
      <c r="AJ225" s="178"/>
      <c r="AK225" s="178"/>
      <c r="AL225" s="178"/>
      <c r="AM225" s="178"/>
      <c r="AN225" s="178"/>
      <c r="AO225" s="178"/>
      <c r="AP225" s="178"/>
      <c r="AQ225" s="178"/>
      <c r="AR225" s="178"/>
      <c r="AS225" s="178"/>
      <c r="AT225" s="178"/>
      <c r="AU225" s="178"/>
      <c r="AV225" s="178"/>
      <c r="AW225" s="178"/>
      <c r="AX225" s="178"/>
      <c r="AY225" s="178"/>
      <c r="AZ225" s="178"/>
      <c r="BA225" s="178"/>
      <c r="BB225" s="178"/>
      <c r="BC225" s="178"/>
      <c r="BD225" s="178"/>
      <c r="BE225" s="178"/>
      <c r="BF225" s="178"/>
      <c r="BG225" s="178"/>
      <c r="BH225" s="178"/>
      <c r="BI225" s="178"/>
      <c r="BJ225" s="178"/>
      <c r="BK225" s="178"/>
      <c r="BL225" s="178"/>
      <c r="BM225" s="178"/>
      <c r="BN225" s="178"/>
      <c r="BO225" s="178"/>
      <c r="BP225" s="178"/>
      <c r="BQ225" s="178"/>
      <c r="BR225" s="178"/>
      <c r="BS225" s="178"/>
      <c r="BT225" s="178"/>
      <c r="BU225" s="178"/>
    </row>
    <row r="226" spans="2:73" ht="15" customHeight="1" x14ac:dyDescent="0.25">
      <c r="B226" s="178"/>
      <c r="C226" s="179"/>
      <c r="D226" s="178"/>
      <c r="E226" s="178"/>
      <c r="F226" s="178"/>
      <c r="G226" s="178"/>
      <c r="H226" s="178"/>
      <c r="I226" s="178"/>
      <c r="J226" s="178"/>
      <c r="K226" s="178"/>
      <c r="L226" s="178"/>
      <c r="M226" s="178"/>
      <c r="N226" s="178"/>
      <c r="O226" s="178"/>
      <c r="P226" s="178"/>
      <c r="Q226" s="178"/>
      <c r="R226" s="178"/>
      <c r="S226" s="178"/>
      <c r="T226" s="178"/>
      <c r="U226" s="178"/>
      <c r="V226" s="178"/>
      <c r="W226" s="178"/>
      <c r="X226" s="178"/>
      <c r="Y226" s="178"/>
      <c r="Z226" s="178"/>
      <c r="AA226" s="178"/>
      <c r="AB226" s="178"/>
      <c r="AC226" s="178"/>
      <c r="AD226" s="178"/>
      <c r="AE226" s="178"/>
      <c r="AF226" s="178"/>
      <c r="AG226" s="178"/>
      <c r="AH226" s="178"/>
      <c r="AI226" s="178"/>
      <c r="AJ226" s="178"/>
      <c r="AK226" s="178"/>
      <c r="AL226" s="178"/>
      <c r="AM226" s="178"/>
      <c r="AN226" s="178"/>
      <c r="AO226" s="178"/>
      <c r="AP226" s="178"/>
      <c r="AQ226" s="178"/>
      <c r="AR226" s="178"/>
      <c r="AS226" s="178"/>
      <c r="AT226" s="178"/>
      <c r="AU226" s="178"/>
      <c r="AV226" s="178"/>
      <c r="AW226" s="178"/>
      <c r="AX226" s="178"/>
      <c r="AY226" s="178"/>
      <c r="AZ226" s="178"/>
      <c r="BA226" s="178"/>
      <c r="BB226" s="178"/>
      <c r="BC226" s="178"/>
      <c r="BD226" s="178"/>
      <c r="BE226" s="178"/>
      <c r="BF226" s="178"/>
      <c r="BG226" s="178"/>
      <c r="BH226" s="178"/>
      <c r="BI226" s="178"/>
      <c r="BJ226" s="178"/>
      <c r="BK226" s="178"/>
      <c r="BL226" s="178"/>
      <c r="BM226" s="178"/>
      <c r="BN226" s="178"/>
      <c r="BO226" s="178"/>
      <c r="BP226" s="178"/>
      <c r="BQ226" s="178"/>
      <c r="BR226" s="178"/>
      <c r="BS226" s="178"/>
      <c r="BT226" s="178"/>
      <c r="BU226" s="178"/>
    </row>
    <row r="227" spans="2:73" ht="15" customHeight="1" x14ac:dyDescent="0.25">
      <c r="B227" s="178"/>
      <c r="C227" s="179"/>
      <c r="D227" s="178"/>
      <c r="E227" s="178"/>
      <c r="F227" s="178"/>
      <c r="G227" s="178"/>
      <c r="H227" s="178"/>
      <c r="I227" s="178"/>
      <c r="J227" s="178"/>
      <c r="K227" s="178"/>
      <c r="L227" s="178"/>
      <c r="M227" s="178"/>
      <c r="N227" s="178"/>
      <c r="O227" s="178"/>
      <c r="P227" s="178"/>
      <c r="Q227" s="178"/>
      <c r="R227" s="178"/>
      <c r="S227" s="178"/>
      <c r="T227" s="178"/>
      <c r="U227" s="178"/>
      <c r="V227" s="178"/>
      <c r="W227" s="178"/>
      <c r="X227" s="178"/>
      <c r="Y227" s="178"/>
      <c r="Z227" s="178"/>
      <c r="AA227" s="178"/>
      <c r="AB227" s="178"/>
      <c r="AC227" s="178"/>
      <c r="AD227" s="178"/>
      <c r="AE227" s="178"/>
      <c r="AF227" s="178"/>
      <c r="AG227" s="178"/>
      <c r="AH227" s="178"/>
      <c r="AI227" s="178"/>
      <c r="AJ227" s="178"/>
      <c r="AK227" s="178"/>
      <c r="AL227" s="178"/>
      <c r="AM227" s="178"/>
      <c r="AN227" s="178"/>
      <c r="AO227" s="178"/>
      <c r="AP227" s="178"/>
      <c r="AQ227" s="178"/>
      <c r="AR227" s="178"/>
      <c r="AS227" s="178"/>
      <c r="AT227" s="178"/>
      <c r="AU227" s="178"/>
      <c r="AV227" s="178"/>
      <c r="AW227" s="178"/>
      <c r="AX227" s="178"/>
      <c r="AY227" s="178"/>
      <c r="AZ227" s="178"/>
      <c r="BA227" s="178"/>
      <c r="BB227" s="178"/>
      <c r="BC227" s="178"/>
      <c r="BD227" s="178"/>
      <c r="BE227" s="178"/>
      <c r="BF227" s="178"/>
      <c r="BG227" s="178"/>
      <c r="BH227" s="178"/>
      <c r="BI227" s="178"/>
      <c r="BJ227" s="178"/>
      <c r="BK227" s="178"/>
      <c r="BL227" s="178"/>
      <c r="BM227" s="178"/>
      <c r="BN227" s="178"/>
      <c r="BO227" s="178"/>
      <c r="BP227" s="178"/>
      <c r="BQ227" s="178"/>
      <c r="BR227" s="178"/>
      <c r="BS227" s="178"/>
      <c r="BT227" s="178"/>
      <c r="BU227" s="178"/>
    </row>
    <row r="228" spans="2:73" ht="15" customHeight="1" x14ac:dyDescent="0.25">
      <c r="B228" s="178"/>
      <c r="C228" s="179"/>
      <c r="D228" s="178"/>
      <c r="E228" s="178"/>
      <c r="F228" s="178"/>
      <c r="G228" s="178"/>
      <c r="H228" s="178"/>
      <c r="I228" s="178"/>
      <c r="J228" s="178"/>
      <c r="K228" s="178"/>
      <c r="L228" s="178"/>
      <c r="M228" s="178"/>
      <c r="N228" s="178"/>
      <c r="O228" s="178"/>
      <c r="P228" s="178"/>
      <c r="Q228" s="178"/>
      <c r="R228" s="178"/>
      <c r="S228" s="178"/>
      <c r="T228" s="178"/>
      <c r="U228" s="178"/>
      <c r="V228" s="178"/>
      <c r="W228" s="178"/>
      <c r="X228" s="178"/>
      <c r="Y228" s="178"/>
      <c r="Z228" s="178"/>
      <c r="AA228" s="178"/>
      <c r="AB228" s="178"/>
      <c r="AC228" s="178"/>
      <c r="AD228" s="178"/>
      <c r="AE228" s="178"/>
      <c r="AF228" s="178"/>
      <c r="AG228" s="178"/>
      <c r="AH228" s="178"/>
      <c r="AI228" s="178"/>
      <c r="AJ228" s="178"/>
      <c r="AK228" s="178"/>
      <c r="AL228" s="178"/>
      <c r="AM228" s="178"/>
      <c r="AN228" s="178"/>
      <c r="AO228" s="178"/>
      <c r="AP228" s="178"/>
      <c r="AQ228" s="178"/>
      <c r="AR228" s="178"/>
      <c r="AS228" s="178"/>
      <c r="AT228" s="178"/>
      <c r="AU228" s="178"/>
      <c r="AV228" s="178"/>
      <c r="AW228" s="178"/>
      <c r="AX228" s="178"/>
      <c r="AY228" s="178"/>
      <c r="AZ228" s="178"/>
      <c r="BA228" s="178"/>
      <c r="BB228" s="178"/>
      <c r="BC228" s="178"/>
      <c r="BD228" s="178"/>
      <c r="BE228" s="178"/>
      <c r="BF228" s="178"/>
      <c r="BG228" s="178"/>
      <c r="BH228" s="178"/>
      <c r="BI228" s="178"/>
      <c r="BJ228" s="178"/>
      <c r="BK228" s="178"/>
      <c r="BL228" s="178"/>
      <c r="BM228" s="178"/>
      <c r="BN228" s="178"/>
      <c r="BO228" s="178"/>
      <c r="BP228" s="178"/>
      <c r="BQ228" s="178"/>
      <c r="BR228" s="178"/>
      <c r="BS228" s="178"/>
      <c r="BT228" s="178"/>
      <c r="BU228" s="178"/>
    </row>
    <row r="229" spans="2:73" ht="15" customHeight="1" x14ac:dyDescent="0.25">
      <c r="B229" s="178"/>
      <c r="C229" s="179"/>
      <c r="D229" s="178"/>
      <c r="E229" s="178"/>
      <c r="F229" s="178"/>
      <c r="G229" s="178"/>
      <c r="H229" s="178"/>
      <c r="I229" s="178"/>
      <c r="J229" s="178"/>
      <c r="K229" s="178"/>
      <c r="L229" s="178"/>
      <c r="M229" s="178"/>
      <c r="N229" s="178"/>
      <c r="O229" s="178"/>
      <c r="P229" s="178"/>
      <c r="Q229" s="178"/>
      <c r="R229" s="178"/>
      <c r="S229" s="178"/>
      <c r="T229" s="178"/>
      <c r="U229" s="178"/>
      <c r="V229" s="178"/>
      <c r="W229" s="178"/>
      <c r="X229" s="178"/>
      <c r="Y229" s="178"/>
      <c r="Z229" s="178"/>
      <c r="AA229" s="178"/>
      <c r="AB229" s="178"/>
      <c r="AC229" s="178"/>
      <c r="AD229" s="178"/>
      <c r="AE229" s="178"/>
      <c r="AF229" s="178"/>
      <c r="AG229" s="178"/>
      <c r="AH229" s="178"/>
      <c r="AI229" s="178"/>
      <c r="AJ229" s="178"/>
      <c r="AK229" s="178"/>
      <c r="AL229" s="178"/>
      <c r="AM229" s="178"/>
      <c r="AN229" s="178"/>
      <c r="AO229" s="178"/>
      <c r="AP229" s="178"/>
      <c r="AQ229" s="178"/>
      <c r="AR229" s="178"/>
      <c r="AS229" s="178"/>
      <c r="AT229" s="178"/>
      <c r="AU229" s="178"/>
      <c r="AV229" s="178"/>
      <c r="AW229" s="178"/>
      <c r="AX229" s="178"/>
      <c r="AY229" s="178"/>
      <c r="AZ229" s="178"/>
      <c r="BA229" s="178"/>
      <c r="BB229" s="178"/>
      <c r="BC229" s="178"/>
      <c r="BD229" s="178"/>
      <c r="BE229" s="178"/>
      <c r="BF229" s="178"/>
      <c r="BG229" s="178"/>
      <c r="BH229" s="178"/>
      <c r="BI229" s="178"/>
      <c r="BJ229" s="178"/>
      <c r="BK229" s="178"/>
      <c r="BL229" s="178"/>
      <c r="BM229" s="178"/>
      <c r="BN229" s="178"/>
      <c r="BO229" s="178"/>
      <c r="BP229" s="178"/>
      <c r="BQ229" s="178"/>
      <c r="BR229" s="178"/>
      <c r="BS229" s="178"/>
      <c r="BT229" s="178"/>
      <c r="BU229" s="178"/>
    </row>
    <row r="230" spans="2:73" ht="15" customHeight="1" x14ac:dyDescent="0.25">
      <c r="B230" s="178"/>
      <c r="C230" s="179"/>
      <c r="D230" s="178"/>
      <c r="E230" s="178"/>
      <c r="F230" s="178"/>
      <c r="G230" s="178"/>
      <c r="H230" s="178"/>
      <c r="I230" s="178"/>
      <c r="J230" s="178"/>
      <c r="K230" s="178"/>
      <c r="L230" s="178"/>
      <c r="M230" s="178"/>
      <c r="N230" s="178"/>
      <c r="O230" s="178"/>
      <c r="P230" s="178"/>
      <c r="Q230" s="178"/>
      <c r="R230" s="178"/>
      <c r="S230" s="178"/>
      <c r="T230" s="178"/>
      <c r="U230" s="178"/>
      <c r="V230" s="178"/>
      <c r="W230" s="178"/>
      <c r="X230" s="178"/>
      <c r="Y230" s="178"/>
      <c r="Z230" s="178"/>
      <c r="AA230" s="178"/>
      <c r="AB230" s="178"/>
      <c r="AC230" s="178"/>
      <c r="AD230" s="178"/>
      <c r="AE230" s="178"/>
      <c r="AF230" s="178"/>
      <c r="AG230" s="178"/>
      <c r="AH230" s="178"/>
      <c r="AI230" s="178"/>
      <c r="AJ230" s="178"/>
      <c r="AK230" s="178"/>
      <c r="AL230" s="178"/>
      <c r="AM230" s="178"/>
      <c r="AN230" s="178"/>
      <c r="AO230" s="178"/>
      <c r="AP230" s="178"/>
      <c r="AQ230" s="178"/>
      <c r="AR230" s="178"/>
      <c r="AS230" s="178"/>
      <c r="AT230" s="178"/>
      <c r="AU230" s="178"/>
      <c r="AV230" s="178"/>
      <c r="AW230" s="178"/>
      <c r="AX230" s="178"/>
      <c r="AY230" s="178"/>
      <c r="AZ230" s="178"/>
      <c r="BA230" s="178"/>
      <c r="BB230" s="178"/>
      <c r="BC230" s="178"/>
      <c r="BD230" s="178"/>
      <c r="BE230" s="178"/>
      <c r="BF230" s="178"/>
      <c r="BG230" s="178"/>
      <c r="BH230" s="178"/>
      <c r="BI230" s="178"/>
      <c r="BJ230" s="178"/>
      <c r="BK230" s="178"/>
      <c r="BL230" s="178"/>
      <c r="BM230" s="178"/>
      <c r="BN230" s="178"/>
      <c r="BO230" s="178"/>
      <c r="BP230" s="178"/>
      <c r="BQ230" s="178"/>
      <c r="BR230" s="178"/>
      <c r="BS230" s="178"/>
      <c r="BT230" s="178"/>
      <c r="BU230" s="178"/>
    </row>
    <row r="231" spans="2:73" ht="15" customHeight="1" x14ac:dyDescent="0.25">
      <c r="B231" s="178"/>
      <c r="C231" s="179"/>
      <c r="D231" s="178"/>
      <c r="E231" s="178"/>
      <c r="F231" s="178"/>
      <c r="G231" s="178"/>
      <c r="H231" s="178"/>
      <c r="I231" s="178"/>
      <c r="J231" s="178"/>
      <c r="K231" s="178"/>
      <c r="L231" s="178"/>
      <c r="M231" s="178"/>
      <c r="N231" s="178"/>
      <c r="O231" s="178"/>
      <c r="P231" s="178"/>
      <c r="Q231" s="178"/>
      <c r="R231" s="178"/>
      <c r="S231" s="178"/>
      <c r="T231" s="178"/>
      <c r="U231" s="178"/>
      <c r="V231" s="178"/>
      <c r="W231" s="178"/>
      <c r="X231" s="178"/>
      <c r="Y231" s="178"/>
      <c r="Z231" s="178"/>
      <c r="AA231" s="178"/>
      <c r="AB231" s="178"/>
      <c r="AC231" s="178"/>
      <c r="AD231" s="178"/>
      <c r="AE231" s="178"/>
      <c r="AF231" s="178"/>
      <c r="AG231" s="178"/>
      <c r="AH231" s="178"/>
      <c r="AI231" s="178"/>
      <c r="AJ231" s="178"/>
      <c r="AK231" s="178"/>
      <c r="AL231" s="178"/>
      <c r="AM231" s="178"/>
      <c r="AN231" s="178"/>
      <c r="AO231" s="178"/>
      <c r="AP231" s="178"/>
      <c r="AQ231" s="178"/>
      <c r="AR231" s="178"/>
      <c r="AS231" s="178"/>
      <c r="AT231" s="178"/>
      <c r="AU231" s="178"/>
      <c r="AV231" s="178"/>
      <c r="AW231" s="178"/>
      <c r="AX231" s="178"/>
      <c r="AY231" s="178"/>
      <c r="AZ231" s="178"/>
      <c r="BA231" s="178"/>
      <c r="BB231" s="178"/>
      <c r="BC231" s="178"/>
      <c r="BD231" s="178"/>
      <c r="BE231" s="178"/>
      <c r="BF231" s="178"/>
      <c r="BG231" s="178"/>
      <c r="BH231" s="178"/>
      <c r="BI231" s="178"/>
      <c r="BJ231" s="178"/>
      <c r="BK231" s="178"/>
      <c r="BL231" s="178"/>
      <c r="BM231" s="178"/>
      <c r="BN231" s="178"/>
      <c r="BO231" s="178"/>
      <c r="BP231" s="178"/>
      <c r="BQ231" s="178"/>
      <c r="BR231" s="178"/>
      <c r="BS231" s="178"/>
      <c r="BT231" s="178"/>
      <c r="BU231" s="178"/>
    </row>
    <row r="232" spans="2:73" ht="15" customHeight="1" x14ac:dyDescent="0.25">
      <c r="B232" s="178"/>
      <c r="C232" s="179"/>
      <c r="D232" s="178"/>
      <c r="E232" s="178"/>
      <c r="F232" s="178"/>
      <c r="G232" s="178"/>
      <c r="H232" s="178"/>
      <c r="I232" s="178"/>
      <c r="J232" s="178"/>
      <c r="K232" s="178"/>
      <c r="L232" s="178"/>
      <c r="M232" s="178"/>
      <c r="N232" s="178"/>
      <c r="O232" s="178"/>
      <c r="P232" s="178"/>
      <c r="Q232" s="178"/>
      <c r="R232" s="178"/>
      <c r="S232" s="178"/>
      <c r="T232" s="178"/>
      <c r="U232" s="178"/>
      <c r="V232" s="178"/>
      <c r="W232" s="178"/>
      <c r="X232" s="178"/>
      <c r="Y232" s="178"/>
      <c r="Z232" s="178"/>
      <c r="AA232" s="178"/>
      <c r="AB232" s="178"/>
      <c r="AC232" s="178"/>
      <c r="AD232" s="178"/>
      <c r="AE232" s="178"/>
      <c r="AF232" s="178"/>
      <c r="AG232" s="178"/>
      <c r="AH232" s="178"/>
      <c r="AI232" s="178"/>
      <c r="AJ232" s="178"/>
      <c r="AK232" s="178"/>
      <c r="AL232" s="178"/>
      <c r="AM232" s="178"/>
      <c r="AN232" s="178"/>
      <c r="AO232" s="178"/>
      <c r="AP232" s="178"/>
      <c r="AQ232" s="178"/>
      <c r="AR232" s="178"/>
      <c r="AS232" s="178"/>
      <c r="AT232" s="178"/>
      <c r="AU232" s="178"/>
      <c r="AV232" s="178"/>
      <c r="AW232" s="178"/>
      <c r="AX232" s="178"/>
      <c r="AY232" s="178"/>
      <c r="AZ232" s="178"/>
      <c r="BA232" s="178"/>
      <c r="BB232" s="178"/>
      <c r="BC232" s="178"/>
      <c r="BD232" s="178"/>
      <c r="BE232" s="178"/>
      <c r="BF232" s="178"/>
      <c r="BG232" s="178"/>
      <c r="BH232" s="178"/>
      <c r="BI232" s="178"/>
      <c r="BJ232" s="178"/>
      <c r="BK232" s="178"/>
      <c r="BL232" s="178"/>
      <c r="BM232" s="178"/>
      <c r="BN232" s="178"/>
      <c r="BO232" s="178"/>
      <c r="BP232" s="178"/>
      <c r="BQ232" s="178"/>
      <c r="BR232" s="178"/>
      <c r="BS232" s="178"/>
      <c r="BT232" s="178"/>
      <c r="BU232" s="178"/>
    </row>
    <row r="233" spans="2:73" ht="15" customHeight="1" x14ac:dyDescent="0.25">
      <c r="B233" s="178"/>
      <c r="C233" s="179"/>
      <c r="D233" s="178"/>
      <c r="E233" s="178"/>
      <c r="F233" s="178"/>
      <c r="G233" s="178"/>
      <c r="H233" s="178"/>
      <c r="I233" s="178"/>
      <c r="J233" s="178"/>
      <c r="K233" s="178"/>
      <c r="L233" s="178"/>
      <c r="M233" s="178"/>
      <c r="N233" s="178"/>
      <c r="O233" s="178"/>
      <c r="P233" s="178"/>
      <c r="Q233" s="178"/>
      <c r="R233" s="178"/>
      <c r="S233" s="178"/>
      <c r="T233" s="178"/>
      <c r="U233" s="178"/>
      <c r="V233" s="178"/>
      <c r="W233" s="178"/>
      <c r="X233" s="178"/>
      <c r="Y233" s="178"/>
      <c r="Z233" s="178"/>
      <c r="AA233" s="178"/>
      <c r="AB233" s="178"/>
      <c r="AC233" s="178"/>
      <c r="AD233" s="178"/>
      <c r="AE233" s="178"/>
      <c r="AF233" s="178"/>
      <c r="AG233" s="178"/>
      <c r="AH233" s="178"/>
      <c r="AI233" s="178"/>
      <c r="AJ233" s="178"/>
      <c r="AK233" s="178"/>
      <c r="AL233" s="178"/>
      <c r="AM233" s="178"/>
      <c r="AN233" s="178"/>
      <c r="AO233" s="178"/>
      <c r="AP233" s="178"/>
      <c r="AQ233" s="178"/>
      <c r="AR233" s="178"/>
      <c r="AS233" s="178"/>
      <c r="AT233" s="178"/>
      <c r="AU233" s="178"/>
      <c r="AV233" s="178"/>
      <c r="AW233" s="178"/>
      <c r="AX233" s="178"/>
      <c r="AY233" s="178"/>
      <c r="AZ233" s="178"/>
      <c r="BA233" s="178"/>
      <c r="BB233" s="178"/>
      <c r="BC233" s="178"/>
      <c r="BD233" s="178"/>
      <c r="BE233" s="178"/>
      <c r="BF233" s="178"/>
      <c r="BG233" s="178"/>
      <c r="BH233" s="178"/>
      <c r="BI233" s="178"/>
      <c r="BJ233" s="178"/>
      <c r="BK233" s="178"/>
      <c r="BL233" s="178"/>
      <c r="BM233" s="178"/>
      <c r="BN233" s="178"/>
      <c r="BO233" s="178"/>
      <c r="BP233" s="178"/>
      <c r="BQ233" s="178"/>
      <c r="BR233" s="178"/>
      <c r="BS233" s="178"/>
      <c r="BT233" s="178"/>
      <c r="BU233" s="178"/>
    </row>
    <row r="234" spans="2:73" ht="15" customHeight="1" x14ac:dyDescent="0.25">
      <c r="B234" s="178"/>
      <c r="C234" s="179"/>
      <c r="D234" s="178"/>
      <c r="E234" s="178"/>
      <c r="F234" s="178"/>
      <c r="G234" s="178"/>
      <c r="H234" s="178"/>
      <c r="I234" s="178"/>
      <c r="J234" s="178"/>
      <c r="K234" s="178"/>
      <c r="L234" s="178"/>
      <c r="M234" s="178"/>
      <c r="N234" s="178"/>
      <c r="O234" s="178"/>
      <c r="P234" s="178"/>
      <c r="Q234" s="178"/>
      <c r="R234" s="178"/>
      <c r="S234" s="178"/>
      <c r="T234" s="178"/>
      <c r="U234" s="178"/>
      <c r="V234" s="178"/>
      <c r="W234" s="178"/>
      <c r="X234" s="178"/>
      <c r="Y234" s="178"/>
      <c r="Z234" s="178"/>
      <c r="AA234" s="178"/>
      <c r="AB234" s="178"/>
      <c r="AC234" s="178"/>
      <c r="AD234" s="178"/>
      <c r="AE234" s="178"/>
      <c r="AF234" s="178"/>
      <c r="AG234" s="178"/>
      <c r="AH234" s="178"/>
      <c r="AI234" s="178"/>
      <c r="AJ234" s="178"/>
      <c r="AK234" s="178"/>
      <c r="AL234" s="178"/>
      <c r="AM234" s="178"/>
      <c r="AN234" s="178"/>
      <c r="AO234" s="178"/>
      <c r="AP234" s="178"/>
      <c r="AQ234" s="178"/>
      <c r="AR234" s="178"/>
      <c r="AS234" s="178"/>
      <c r="AT234" s="178"/>
      <c r="AU234" s="178"/>
      <c r="AV234" s="178"/>
      <c r="AW234" s="178"/>
      <c r="AX234" s="178"/>
      <c r="AY234" s="178"/>
      <c r="AZ234" s="178"/>
      <c r="BA234" s="178"/>
      <c r="BB234" s="178"/>
      <c r="BC234" s="178"/>
      <c r="BD234" s="178"/>
      <c r="BE234" s="178"/>
      <c r="BF234" s="178"/>
      <c r="BG234" s="178"/>
      <c r="BH234" s="178"/>
      <c r="BI234" s="178"/>
      <c r="BJ234" s="178"/>
      <c r="BK234" s="178"/>
      <c r="BL234" s="178"/>
      <c r="BM234" s="178"/>
      <c r="BN234" s="178"/>
      <c r="BO234" s="178"/>
      <c r="BP234" s="178"/>
      <c r="BQ234" s="178"/>
      <c r="BR234" s="178"/>
      <c r="BS234" s="178"/>
      <c r="BT234" s="178"/>
      <c r="BU234" s="178"/>
    </row>
    <row r="235" spans="2:73" ht="15" customHeight="1" x14ac:dyDescent="0.25">
      <c r="B235" s="178"/>
      <c r="C235" s="179"/>
      <c r="D235" s="178"/>
      <c r="E235" s="178"/>
      <c r="F235" s="178"/>
      <c r="G235" s="178"/>
      <c r="H235" s="178"/>
      <c r="I235" s="178"/>
      <c r="J235" s="178"/>
      <c r="K235" s="178"/>
      <c r="L235" s="178"/>
      <c r="M235" s="178"/>
      <c r="N235" s="178"/>
      <c r="O235" s="178"/>
      <c r="P235" s="178"/>
      <c r="Q235" s="178"/>
      <c r="R235" s="178"/>
      <c r="S235" s="178"/>
      <c r="T235" s="178"/>
      <c r="U235" s="178"/>
      <c r="V235" s="178"/>
      <c r="W235" s="178"/>
      <c r="X235" s="178"/>
      <c r="Y235" s="178"/>
      <c r="Z235" s="178"/>
      <c r="AA235" s="178"/>
      <c r="AB235" s="178"/>
      <c r="AC235" s="178"/>
      <c r="AD235" s="178"/>
      <c r="AE235" s="178"/>
      <c r="AF235" s="178"/>
      <c r="AG235" s="178"/>
      <c r="AH235" s="178"/>
      <c r="AI235" s="178"/>
      <c r="AJ235" s="178"/>
      <c r="AK235" s="178"/>
      <c r="AL235" s="178"/>
      <c r="AM235" s="178"/>
      <c r="AN235" s="178"/>
      <c r="AO235" s="178"/>
      <c r="AP235" s="178"/>
      <c r="AQ235" s="178"/>
      <c r="AR235" s="178"/>
      <c r="AS235" s="178"/>
      <c r="AT235" s="178"/>
      <c r="AU235" s="178"/>
      <c r="AV235" s="178"/>
      <c r="AW235" s="178"/>
      <c r="AX235" s="178"/>
      <c r="AY235" s="178"/>
      <c r="AZ235" s="178"/>
      <c r="BA235" s="178"/>
      <c r="BB235" s="178"/>
      <c r="BC235" s="178"/>
      <c r="BD235" s="178"/>
      <c r="BE235" s="178"/>
      <c r="BF235" s="178"/>
      <c r="BG235" s="178"/>
      <c r="BH235" s="178"/>
      <c r="BI235" s="178"/>
      <c r="BJ235" s="178"/>
      <c r="BK235" s="178"/>
      <c r="BL235" s="178"/>
      <c r="BM235" s="178"/>
      <c r="BN235" s="178"/>
      <c r="BO235" s="178"/>
      <c r="BP235" s="178"/>
      <c r="BQ235" s="178"/>
      <c r="BR235" s="178"/>
      <c r="BS235" s="178"/>
      <c r="BT235" s="178"/>
      <c r="BU235" s="178"/>
    </row>
    <row r="236" spans="2:73" ht="15" customHeight="1" x14ac:dyDescent="0.25">
      <c r="B236" s="178"/>
      <c r="C236" s="179"/>
      <c r="D236" s="178"/>
      <c r="E236" s="178"/>
      <c r="F236" s="178"/>
      <c r="G236" s="178"/>
      <c r="H236" s="178"/>
      <c r="I236" s="178"/>
      <c r="J236" s="178"/>
      <c r="K236" s="178"/>
      <c r="L236" s="178"/>
      <c r="M236" s="178"/>
      <c r="N236" s="178"/>
      <c r="O236" s="178"/>
      <c r="P236" s="178"/>
      <c r="Q236" s="178"/>
      <c r="R236" s="178"/>
      <c r="S236" s="178"/>
      <c r="T236" s="178"/>
      <c r="U236" s="178"/>
      <c r="V236" s="178"/>
      <c r="W236" s="178"/>
      <c r="X236" s="178"/>
      <c r="Y236" s="178"/>
      <c r="Z236" s="178"/>
      <c r="AA236" s="178"/>
      <c r="AB236" s="178"/>
      <c r="AC236" s="178"/>
      <c r="AD236" s="178"/>
      <c r="AE236" s="178"/>
      <c r="AF236" s="178"/>
      <c r="AG236" s="178"/>
      <c r="AH236" s="178"/>
      <c r="AI236" s="178"/>
      <c r="AJ236" s="178"/>
      <c r="AK236" s="178"/>
      <c r="AL236" s="178"/>
      <c r="AM236" s="178"/>
      <c r="AN236" s="178"/>
      <c r="AO236" s="178"/>
      <c r="AP236" s="178"/>
      <c r="AQ236" s="178"/>
      <c r="AR236" s="178"/>
      <c r="AS236" s="178"/>
      <c r="AT236" s="178"/>
      <c r="AU236" s="178"/>
      <c r="AV236" s="178"/>
      <c r="AW236" s="178"/>
      <c r="AX236" s="178"/>
      <c r="AY236" s="178"/>
      <c r="AZ236" s="178"/>
      <c r="BA236" s="178"/>
      <c r="BB236" s="178"/>
      <c r="BC236" s="178"/>
      <c r="BD236" s="178"/>
      <c r="BE236" s="178"/>
      <c r="BF236" s="178"/>
      <c r="BG236" s="178"/>
      <c r="BH236" s="178"/>
      <c r="BI236" s="178"/>
      <c r="BJ236" s="178"/>
      <c r="BK236" s="178"/>
      <c r="BL236" s="178"/>
      <c r="BM236" s="178"/>
      <c r="BN236" s="178"/>
      <c r="BO236" s="178"/>
      <c r="BP236" s="178"/>
      <c r="BQ236" s="178"/>
      <c r="BR236" s="178"/>
      <c r="BS236" s="178"/>
      <c r="BT236" s="178"/>
      <c r="BU236" s="178"/>
    </row>
    <row r="237" spans="2:73" ht="15" customHeight="1" x14ac:dyDescent="0.25">
      <c r="B237" s="178"/>
      <c r="C237" s="179"/>
      <c r="D237" s="178"/>
      <c r="E237" s="178"/>
      <c r="F237" s="178"/>
      <c r="G237" s="178"/>
      <c r="H237" s="178"/>
      <c r="I237" s="178"/>
      <c r="J237" s="178"/>
      <c r="K237" s="178"/>
      <c r="L237" s="178"/>
      <c r="M237" s="178"/>
      <c r="N237" s="178"/>
      <c r="O237" s="178"/>
      <c r="P237" s="178"/>
      <c r="Q237" s="178"/>
      <c r="R237" s="178"/>
      <c r="S237" s="178"/>
      <c r="T237" s="178"/>
      <c r="U237" s="178"/>
      <c r="V237" s="178"/>
      <c r="W237" s="178"/>
      <c r="X237" s="178"/>
      <c r="Y237" s="178"/>
      <c r="Z237" s="178"/>
      <c r="AA237" s="178"/>
      <c r="AB237" s="178"/>
      <c r="AC237" s="178"/>
      <c r="AD237" s="178"/>
      <c r="AE237" s="178"/>
      <c r="AF237" s="178"/>
      <c r="AG237" s="178"/>
      <c r="AH237" s="178"/>
      <c r="AI237" s="178"/>
      <c r="AJ237" s="178"/>
      <c r="AK237" s="178"/>
      <c r="AL237" s="178"/>
      <c r="AM237" s="178"/>
      <c r="AN237" s="178"/>
      <c r="AO237" s="178"/>
      <c r="AP237" s="178"/>
      <c r="AQ237" s="178"/>
      <c r="AR237" s="178"/>
      <c r="AS237" s="178"/>
      <c r="AT237" s="178"/>
      <c r="AU237" s="178"/>
      <c r="AV237" s="178"/>
      <c r="AW237" s="178"/>
      <c r="AX237" s="178"/>
      <c r="AY237" s="178"/>
      <c r="AZ237" s="178"/>
      <c r="BA237" s="178"/>
      <c r="BB237" s="178"/>
      <c r="BC237" s="178"/>
      <c r="BD237" s="178"/>
      <c r="BE237" s="178"/>
      <c r="BF237" s="178"/>
      <c r="BG237" s="178"/>
      <c r="BH237" s="178"/>
      <c r="BI237" s="178"/>
      <c r="BJ237" s="178"/>
      <c r="BK237" s="178"/>
      <c r="BL237" s="178"/>
      <c r="BM237" s="178"/>
      <c r="BN237" s="178"/>
      <c r="BO237" s="178"/>
      <c r="BP237" s="178"/>
      <c r="BQ237" s="178"/>
      <c r="BR237" s="178"/>
      <c r="BS237" s="178"/>
      <c r="BT237" s="178"/>
      <c r="BU237" s="178"/>
    </row>
    <row r="238" spans="2:73" ht="15" customHeight="1" x14ac:dyDescent="0.25">
      <c r="B238" s="178"/>
      <c r="C238" s="179"/>
      <c r="D238" s="178"/>
      <c r="E238" s="178"/>
      <c r="F238" s="178"/>
      <c r="G238" s="178"/>
      <c r="H238" s="178"/>
      <c r="I238" s="178"/>
      <c r="J238" s="178"/>
      <c r="K238" s="178"/>
      <c r="L238" s="178"/>
      <c r="M238" s="178"/>
      <c r="N238" s="178"/>
      <c r="O238" s="178"/>
      <c r="P238" s="178"/>
      <c r="Q238" s="178"/>
      <c r="R238" s="178"/>
      <c r="S238" s="178"/>
      <c r="T238" s="178"/>
      <c r="U238" s="178"/>
      <c r="V238" s="178"/>
      <c r="W238" s="178"/>
      <c r="X238" s="178"/>
      <c r="Y238" s="178"/>
      <c r="Z238" s="178"/>
      <c r="AA238" s="178"/>
      <c r="AB238" s="178"/>
      <c r="AC238" s="178"/>
      <c r="AD238" s="178"/>
      <c r="AE238" s="178"/>
      <c r="AF238" s="178"/>
      <c r="AG238" s="178"/>
      <c r="AH238" s="178"/>
      <c r="AI238" s="178"/>
      <c r="AJ238" s="178"/>
      <c r="AK238" s="178"/>
      <c r="AL238" s="178"/>
      <c r="AM238" s="178"/>
      <c r="AN238" s="178"/>
      <c r="AO238" s="178"/>
      <c r="AP238" s="178"/>
      <c r="AQ238" s="178"/>
      <c r="AR238" s="178"/>
      <c r="AS238" s="178"/>
      <c r="AT238" s="178"/>
      <c r="AU238" s="178"/>
      <c r="AV238" s="178"/>
      <c r="AW238" s="178"/>
      <c r="AX238" s="178"/>
      <c r="AY238" s="178"/>
      <c r="AZ238" s="178"/>
      <c r="BA238" s="178"/>
      <c r="BB238" s="178"/>
      <c r="BC238" s="178"/>
      <c r="BD238" s="178"/>
      <c r="BE238" s="178"/>
      <c r="BF238" s="178"/>
      <c r="BG238" s="178"/>
      <c r="BH238" s="178"/>
      <c r="BI238" s="178"/>
      <c r="BJ238" s="178"/>
      <c r="BK238" s="178"/>
      <c r="BL238" s="178"/>
      <c r="BM238" s="178"/>
      <c r="BN238" s="178"/>
      <c r="BO238" s="178"/>
      <c r="BP238" s="178"/>
      <c r="BQ238" s="178"/>
      <c r="BR238" s="178"/>
      <c r="BS238" s="178"/>
      <c r="BT238" s="178"/>
      <c r="BU238" s="178"/>
    </row>
    <row r="239" spans="2:73" ht="15" customHeight="1" x14ac:dyDescent="0.25">
      <c r="B239" s="178"/>
      <c r="C239" s="179"/>
      <c r="D239" s="178"/>
      <c r="E239" s="178"/>
      <c r="F239" s="178"/>
      <c r="G239" s="178"/>
      <c r="H239" s="178"/>
      <c r="I239" s="178"/>
      <c r="J239" s="178"/>
      <c r="K239" s="178"/>
      <c r="L239" s="178"/>
      <c r="M239" s="178"/>
      <c r="N239" s="178"/>
      <c r="O239" s="178"/>
      <c r="P239" s="178"/>
      <c r="Q239" s="178"/>
      <c r="R239" s="178"/>
      <c r="S239" s="178"/>
      <c r="T239" s="178"/>
      <c r="U239" s="178"/>
      <c r="V239" s="178"/>
      <c r="W239" s="178"/>
      <c r="X239" s="178"/>
      <c r="Y239" s="178"/>
      <c r="Z239" s="178"/>
      <c r="AA239" s="178"/>
      <c r="AB239" s="178"/>
      <c r="AC239" s="178"/>
      <c r="AD239" s="178"/>
      <c r="AE239" s="178"/>
      <c r="AF239" s="178"/>
      <c r="AG239" s="178"/>
      <c r="AH239" s="178"/>
      <c r="AI239" s="178"/>
      <c r="AJ239" s="178"/>
      <c r="AK239" s="178"/>
      <c r="AL239" s="178"/>
      <c r="AM239" s="178"/>
      <c r="AN239" s="178"/>
      <c r="AO239" s="178"/>
      <c r="AP239" s="178"/>
      <c r="AQ239" s="178"/>
      <c r="AR239" s="178"/>
      <c r="AS239" s="178"/>
      <c r="AT239" s="178"/>
      <c r="AU239" s="178"/>
      <c r="AV239" s="178"/>
      <c r="AW239" s="178"/>
      <c r="AX239" s="178"/>
      <c r="AY239" s="178"/>
      <c r="AZ239" s="178"/>
      <c r="BA239" s="178"/>
      <c r="BB239" s="178"/>
      <c r="BC239" s="178"/>
      <c r="BD239" s="178"/>
      <c r="BE239" s="178"/>
      <c r="BF239" s="178"/>
      <c r="BG239" s="178"/>
      <c r="BH239" s="178"/>
      <c r="BI239" s="178"/>
      <c r="BJ239" s="178"/>
      <c r="BK239" s="178"/>
      <c r="BL239" s="178"/>
      <c r="BM239" s="178"/>
      <c r="BN239" s="178"/>
      <c r="BO239" s="178"/>
      <c r="BP239" s="178"/>
      <c r="BQ239" s="178"/>
      <c r="BR239" s="178"/>
      <c r="BS239" s="178"/>
      <c r="BT239" s="178"/>
      <c r="BU239" s="178"/>
    </row>
    <row r="240" spans="2:73" ht="15" customHeight="1" x14ac:dyDescent="0.25">
      <c r="B240" s="178"/>
      <c r="C240" s="179"/>
      <c r="D240" s="178"/>
      <c r="E240" s="178"/>
      <c r="F240" s="178"/>
      <c r="G240" s="178"/>
      <c r="H240" s="178"/>
      <c r="I240" s="178"/>
      <c r="J240" s="178"/>
      <c r="K240" s="178"/>
      <c r="L240" s="178"/>
      <c r="M240" s="178"/>
      <c r="N240" s="178"/>
      <c r="O240" s="178"/>
      <c r="P240" s="178"/>
      <c r="Q240" s="178"/>
      <c r="R240" s="178"/>
      <c r="S240" s="178"/>
      <c r="T240" s="178"/>
      <c r="U240" s="178"/>
      <c r="V240" s="178"/>
      <c r="W240" s="178"/>
      <c r="X240" s="178"/>
      <c r="Y240" s="178"/>
      <c r="Z240" s="178"/>
      <c r="AA240" s="178"/>
      <c r="AB240" s="178"/>
      <c r="AC240" s="178"/>
      <c r="AD240" s="178"/>
      <c r="AE240" s="178"/>
      <c r="AF240" s="178"/>
      <c r="AG240" s="178"/>
      <c r="AH240" s="178"/>
      <c r="AI240" s="178"/>
      <c r="AJ240" s="178"/>
      <c r="AK240" s="178"/>
      <c r="AL240" s="178"/>
      <c r="AM240" s="178"/>
      <c r="AN240" s="178"/>
      <c r="AO240" s="178"/>
      <c r="AP240" s="178"/>
      <c r="AQ240" s="178"/>
      <c r="AR240" s="178"/>
      <c r="AS240" s="178"/>
      <c r="AT240" s="178"/>
      <c r="AU240" s="178"/>
      <c r="AV240" s="178"/>
      <c r="AW240" s="178"/>
      <c r="AX240" s="178"/>
      <c r="AY240" s="178"/>
      <c r="AZ240" s="178"/>
      <c r="BA240" s="178"/>
      <c r="BB240" s="178"/>
      <c r="BC240" s="178"/>
      <c r="BD240" s="178"/>
      <c r="BE240" s="178"/>
      <c r="BF240" s="178"/>
      <c r="BG240" s="178"/>
      <c r="BH240" s="178"/>
      <c r="BI240" s="178"/>
      <c r="BJ240" s="178"/>
      <c r="BK240" s="178"/>
      <c r="BL240" s="178"/>
      <c r="BM240" s="178"/>
      <c r="BN240" s="178"/>
      <c r="BO240" s="178"/>
      <c r="BP240" s="178"/>
      <c r="BQ240" s="178"/>
      <c r="BR240" s="178"/>
      <c r="BS240" s="178"/>
      <c r="BT240" s="178"/>
      <c r="BU240" s="178"/>
    </row>
    <row r="241" spans="2:73" ht="15" customHeight="1" x14ac:dyDescent="0.25">
      <c r="B241" s="178"/>
      <c r="C241" s="179"/>
      <c r="D241" s="178"/>
      <c r="E241" s="178"/>
      <c r="F241" s="178"/>
      <c r="G241" s="178"/>
      <c r="H241" s="178"/>
      <c r="I241" s="178"/>
      <c r="J241" s="178"/>
      <c r="K241" s="178"/>
      <c r="L241" s="178"/>
      <c r="M241" s="178"/>
      <c r="N241" s="178"/>
      <c r="O241" s="178"/>
      <c r="P241" s="178"/>
      <c r="Q241" s="178"/>
      <c r="R241" s="178"/>
      <c r="S241" s="178"/>
      <c r="T241" s="178"/>
      <c r="U241" s="178"/>
      <c r="V241" s="178"/>
      <c r="W241" s="178"/>
      <c r="X241" s="178"/>
      <c r="Y241" s="178"/>
      <c r="Z241" s="178"/>
      <c r="AA241" s="178"/>
      <c r="AB241" s="178"/>
      <c r="AC241" s="178"/>
      <c r="AD241" s="178"/>
      <c r="AE241" s="178"/>
      <c r="AF241" s="178"/>
      <c r="AG241" s="178"/>
      <c r="AH241" s="178"/>
      <c r="AI241" s="178"/>
      <c r="AJ241" s="178"/>
      <c r="AK241" s="178"/>
      <c r="AL241" s="178"/>
      <c r="AM241" s="178"/>
      <c r="AN241" s="178"/>
      <c r="AO241" s="178"/>
      <c r="AP241" s="178"/>
      <c r="AQ241" s="178"/>
      <c r="AR241" s="178"/>
      <c r="AS241" s="178"/>
      <c r="AT241" s="178"/>
      <c r="AU241" s="178"/>
      <c r="AV241" s="178"/>
      <c r="AW241" s="178"/>
      <c r="AX241" s="178"/>
      <c r="AY241" s="178"/>
      <c r="AZ241" s="178"/>
      <c r="BA241" s="178"/>
      <c r="BB241" s="178"/>
      <c r="BC241" s="178"/>
      <c r="BD241" s="178"/>
      <c r="BE241" s="178"/>
      <c r="BF241" s="178"/>
      <c r="BG241" s="178"/>
      <c r="BH241" s="178"/>
      <c r="BI241" s="178"/>
      <c r="BJ241" s="178"/>
      <c r="BK241" s="178"/>
      <c r="BL241" s="178"/>
      <c r="BM241" s="178"/>
      <c r="BN241" s="178"/>
      <c r="BO241" s="178"/>
      <c r="BP241" s="178"/>
      <c r="BQ241" s="178"/>
      <c r="BR241" s="178"/>
      <c r="BS241" s="178"/>
      <c r="BT241" s="178"/>
      <c r="BU241" s="178"/>
    </row>
    <row r="242" spans="2:73" ht="15" customHeight="1" x14ac:dyDescent="0.25">
      <c r="B242" s="178"/>
      <c r="C242" s="179"/>
      <c r="D242" s="178"/>
      <c r="E242" s="178"/>
      <c r="F242" s="178"/>
      <c r="G242" s="178"/>
      <c r="H242" s="178"/>
      <c r="I242" s="178"/>
      <c r="J242" s="178"/>
      <c r="K242" s="178"/>
      <c r="L242" s="178"/>
      <c r="M242" s="178"/>
      <c r="N242" s="178"/>
      <c r="O242" s="178"/>
      <c r="P242" s="178"/>
      <c r="Q242" s="178"/>
      <c r="R242" s="178"/>
      <c r="S242" s="178"/>
      <c r="T242" s="178"/>
      <c r="U242" s="178"/>
      <c r="V242" s="178"/>
      <c r="W242" s="178"/>
      <c r="X242" s="178"/>
      <c r="Y242" s="178"/>
      <c r="Z242" s="178"/>
      <c r="AA242" s="178"/>
      <c r="AB242" s="178"/>
      <c r="AC242" s="178"/>
      <c r="AD242" s="178"/>
      <c r="AE242" s="178"/>
      <c r="AF242" s="178"/>
      <c r="AG242" s="178"/>
      <c r="AH242" s="178"/>
      <c r="AI242" s="178"/>
      <c r="AJ242" s="178"/>
      <c r="AK242" s="178"/>
      <c r="AL242" s="178"/>
      <c r="AM242" s="178"/>
      <c r="AN242" s="178"/>
      <c r="AO242" s="178"/>
      <c r="AP242" s="178"/>
      <c r="AQ242" s="178"/>
      <c r="AR242" s="178"/>
      <c r="AS242" s="178"/>
      <c r="AT242" s="178"/>
      <c r="AU242" s="178"/>
      <c r="AV242" s="178"/>
      <c r="AW242" s="178"/>
      <c r="AX242" s="178"/>
      <c r="AY242" s="178"/>
      <c r="AZ242" s="178"/>
      <c r="BA242" s="178"/>
      <c r="BB242" s="178"/>
      <c r="BC242" s="178"/>
      <c r="BD242" s="178"/>
      <c r="BE242" s="178"/>
      <c r="BF242" s="178"/>
      <c r="BG242" s="178"/>
      <c r="BH242" s="178"/>
      <c r="BI242" s="178"/>
      <c r="BJ242" s="178"/>
      <c r="BK242" s="178"/>
      <c r="BL242" s="178"/>
      <c r="BM242" s="178"/>
      <c r="BN242" s="178"/>
      <c r="BO242" s="178"/>
      <c r="BP242" s="178"/>
      <c r="BQ242" s="178"/>
      <c r="BR242" s="178"/>
      <c r="BS242" s="178"/>
      <c r="BT242" s="178"/>
      <c r="BU242" s="178"/>
    </row>
    <row r="243" spans="2:73" ht="15" customHeight="1" x14ac:dyDescent="0.25">
      <c r="B243" s="178"/>
      <c r="C243" s="179"/>
      <c r="D243" s="178"/>
      <c r="E243" s="178"/>
      <c r="F243" s="178"/>
      <c r="G243" s="178"/>
      <c r="H243" s="178"/>
      <c r="I243" s="178"/>
      <c r="J243" s="178"/>
      <c r="K243" s="178"/>
      <c r="L243" s="178"/>
      <c r="M243" s="178"/>
      <c r="N243" s="178"/>
      <c r="O243" s="178"/>
      <c r="P243" s="178"/>
      <c r="Q243" s="178"/>
      <c r="R243" s="178"/>
      <c r="S243" s="178"/>
      <c r="T243" s="178"/>
      <c r="U243" s="178"/>
      <c r="V243" s="178"/>
      <c r="W243" s="178"/>
      <c r="X243" s="178"/>
      <c r="Y243" s="178"/>
      <c r="Z243" s="178"/>
      <c r="AA243" s="178"/>
      <c r="AB243" s="178"/>
      <c r="AC243" s="178"/>
      <c r="AD243" s="178"/>
      <c r="AE243" s="178"/>
      <c r="AF243" s="178"/>
      <c r="AG243" s="178"/>
      <c r="AH243" s="178"/>
      <c r="AI243" s="178"/>
      <c r="AJ243" s="178"/>
      <c r="AK243" s="178"/>
      <c r="AL243" s="178"/>
      <c r="AM243" s="178"/>
      <c r="AN243" s="178"/>
      <c r="AO243" s="178"/>
      <c r="AP243" s="178"/>
      <c r="AQ243" s="178"/>
      <c r="AR243" s="178"/>
      <c r="AS243" s="178"/>
      <c r="AT243" s="178"/>
      <c r="AU243" s="178"/>
      <c r="AV243" s="178"/>
      <c r="AW243" s="178"/>
      <c r="AX243" s="178"/>
      <c r="AY243" s="178"/>
      <c r="AZ243" s="178"/>
      <c r="BA243" s="178"/>
      <c r="BB243" s="178"/>
      <c r="BC243" s="178"/>
      <c r="BD243" s="178"/>
      <c r="BE243" s="178"/>
      <c r="BF243" s="178"/>
      <c r="BG243" s="178"/>
      <c r="BH243" s="178"/>
      <c r="BI243" s="178"/>
      <c r="BJ243" s="178"/>
      <c r="BK243" s="178"/>
      <c r="BL243" s="178"/>
      <c r="BM243" s="178"/>
      <c r="BN243" s="178"/>
      <c r="BO243" s="178"/>
      <c r="BP243" s="178"/>
      <c r="BQ243" s="178"/>
      <c r="BR243" s="178"/>
      <c r="BS243" s="178"/>
      <c r="BT243" s="178"/>
      <c r="BU243" s="178"/>
    </row>
    <row r="244" spans="2:73" ht="15" customHeight="1" x14ac:dyDescent="0.25">
      <c r="B244" s="178"/>
      <c r="C244" s="179"/>
      <c r="D244" s="178"/>
      <c r="E244" s="178"/>
      <c r="F244" s="178"/>
      <c r="G244" s="178"/>
      <c r="H244" s="178"/>
      <c r="I244" s="178"/>
      <c r="J244" s="178"/>
      <c r="K244" s="178"/>
      <c r="L244" s="178"/>
      <c r="M244" s="178"/>
      <c r="N244" s="178"/>
      <c r="O244" s="178"/>
      <c r="P244" s="178"/>
      <c r="Q244" s="178"/>
      <c r="R244" s="178"/>
      <c r="S244" s="178"/>
      <c r="T244" s="178"/>
      <c r="U244" s="178"/>
      <c r="V244" s="178"/>
      <c r="W244" s="178"/>
      <c r="X244" s="178"/>
      <c r="Y244" s="178"/>
      <c r="Z244" s="178"/>
      <c r="AA244" s="178"/>
      <c r="AB244" s="178"/>
      <c r="AC244" s="178"/>
      <c r="AD244" s="178"/>
      <c r="AE244" s="178"/>
      <c r="AF244" s="178"/>
      <c r="AG244" s="178"/>
      <c r="AH244" s="178"/>
      <c r="AI244" s="178"/>
      <c r="AJ244" s="178"/>
      <c r="AK244" s="178"/>
      <c r="AL244" s="178"/>
      <c r="AM244" s="178"/>
      <c r="AN244" s="178"/>
      <c r="AO244" s="178"/>
      <c r="AP244" s="178"/>
      <c r="AQ244" s="178"/>
      <c r="AR244" s="178"/>
      <c r="AS244" s="178"/>
      <c r="AT244" s="178"/>
      <c r="AU244" s="178"/>
      <c r="AV244" s="178"/>
      <c r="AW244" s="178"/>
      <c r="AX244" s="178"/>
      <c r="AY244" s="178"/>
      <c r="AZ244" s="178"/>
      <c r="BA244" s="178"/>
      <c r="BB244" s="178"/>
      <c r="BC244" s="178"/>
      <c r="BD244" s="178"/>
      <c r="BE244" s="178"/>
      <c r="BF244" s="178"/>
      <c r="BG244" s="178"/>
      <c r="BH244" s="178"/>
      <c r="BI244" s="178"/>
      <c r="BJ244" s="178"/>
      <c r="BK244" s="178"/>
      <c r="BL244" s="178"/>
      <c r="BM244" s="178"/>
      <c r="BN244" s="178"/>
      <c r="BO244" s="178"/>
      <c r="BP244" s="178"/>
      <c r="BQ244" s="178"/>
      <c r="BR244" s="178"/>
      <c r="BS244" s="178"/>
      <c r="BT244" s="178"/>
      <c r="BU244" s="178"/>
    </row>
    <row r="245" spans="2:73" ht="15" customHeight="1" x14ac:dyDescent="0.25">
      <c r="B245" s="178"/>
      <c r="C245" s="179"/>
      <c r="D245" s="178"/>
      <c r="E245" s="178"/>
      <c r="F245" s="178"/>
      <c r="G245" s="178"/>
      <c r="H245" s="178"/>
      <c r="I245" s="178"/>
      <c r="J245" s="178"/>
      <c r="K245" s="178"/>
      <c r="L245" s="178"/>
      <c r="M245" s="178"/>
      <c r="N245" s="178"/>
      <c r="O245" s="178"/>
      <c r="P245" s="178"/>
      <c r="Q245" s="178"/>
      <c r="R245" s="178"/>
      <c r="S245" s="178"/>
      <c r="T245" s="178"/>
      <c r="U245" s="178"/>
      <c r="V245" s="178"/>
      <c r="W245" s="178"/>
      <c r="X245" s="178"/>
      <c r="Y245" s="178"/>
      <c r="Z245" s="178"/>
      <c r="AA245" s="178"/>
      <c r="AB245" s="178"/>
      <c r="AC245" s="178"/>
      <c r="AD245" s="178"/>
      <c r="AE245" s="178"/>
      <c r="AF245" s="178"/>
      <c r="AG245" s="178"/>
      <c r="AH245" s="178"/>
      <c r="AI245" s="178"/>
      <c r="AJ245" s="178"/>
      <c r="AK245" s="178"/>
      <c r="AL245" s="178"/>
      <c r="AM245" s="178"/>
      <c r="AN245" s="178"/>
      <c r="AO245" s="178"/>
      <c r="AP245" s="178"/>
      <c r="AQ245" s="178"/>
      <c r="AR245" s="178"/>
      <c r="AS245" s="178"/>
      <c r="AT245" s="178"/>
      <c r="AU245" s="178"/>
      <c r="AV245" s="178"/>
      <c r="AW245" s="178"/>
      <c r="AX245" s="178"/>
      <c r="AY245" s="178"/>
      <c r="AZ245" s="178"/>
      <c r="BA245" s="178"/>
      <c r="BB245" s="178"/>
      <c r="BC245" s="178"/>
      <c r="BD245" s="178"/>
      <c r="BE245" s="178"/>
      <c r="BF245" s="178"/>
      <c r="BG245" s="178"/>
      <c r="BH245" s="178"/>
      <c r="BI245" s="178"/>
      <c r="BJ245" s="178"/>
      <c r="BK245" s="178"/>
      <c r="BL245" s="178"/>
      <c r="BM245" s="178"/>
      <c r="BN245" s="178"/>
      <c r="BO245" s="178"/>
      <c r="BP245" s="178"/>
      <c r="BQ245" s="178"/>
      <c r="BR245" s="178"/>
      <c r="BS245" s="178"/>
      <c r="BT245" s="178"/>
      <c r="BU245" s="178"/>
    </row>
    <row r="246" spans="2:73" ht="15" customHeight="1" x14ac:dyDescent="0.25">
      <c r="B246" s="178"/>
      <c r="C246" s="179"/>
      <c r="D246" s="178"/>
      <c r="E246" s="178"/>
      <c r="F246" s="178"/>
      <c r="G246" s="178"/>
      <c r="H246" s="178"/>
      <c r="I246" s="178"/>
      <c r="J246" s="178"/>
      <c r="K246" s="178"/>
      <c r="L246" s="178"/>
      <c r="M246" s="178"/>
      <c r="N246" s="178"/>
      <c r="O246" s="178"/>
      <c r="P246" s="178"/>
      <c r="Q246" s="178"/>
      <c r="R246" s="178"/>
      <c r="S246" s="178"/>
      <c r="T246" s="178"/>
      <c r="U246" s="178"/>
      <c r="V246" s="178"/>
      <c r="W246" s="178"/>
      <c r="X246" s="178"/>
      <c r="Y246" s="178"/>
      <c r="Z246" s="178"/>
      <c r="AA246" s="178"/>
      <c r="AB246" s="178"/>
      <c r="AC246" s="178"/>
      <c r="AD246" s="178"/>
      <c r="AE246" s="178"/>
      <c r="AF246" s="178"/>
      <c r="AG246" s="178"/>
      <c r="AH246" s="178"/>
      <c r="AI246" s="178"/>
      <c r="AJ246" s="178"/>
      <c r="AK246" s="178"/>
      <c r="AL246" s="178"/>
      <c r="AM246" s="178"/>
      <c r="AN246" s="178"/>
      <c r="AO246" s="178"/>
      <c r="AP246" s="178"/>
      <c r="AQ246" s="178"/>
      <c r="AR246" s="178"/>
      <c r="AS246" s="178"/>
      <c r="AT246" s="178"/>
      <c r="AU246" s="178"/>
      <c r="AV246" s="178"/>
      <c r="AW246" s="178"/>
      <c r="AX246" s="178"/>
      <c r="AY246" s="178"/>
      <c r="AZ246" s="178"/>
      <c r="BA246" s="178"/>
      <c r="BB246" s="178"/>
      <c r="BC246" s="178"/>
      <c r="BD246" s="178"/>
      <c r="BE246" s="178"/>
      <c r="BF246" s="178"/>
      <c r="BG246" s="178"/>
      <c r="BH246" s="178"/>
      <c r="BI246" s="178"/>
      <c r="BJ246" s="178"/>
      <c r="BK246" s="178"/>
      <c r="BL246" s="178"/>
      <c r="BM246" s="178"/>
      <c r="BN246" s="178"/>
      <c r="BO246" s="178"/>
      <c r="BP246" s="178"/>
      <c r="BQ246" s="178"/>
      <c r="BR246" s="178"/>
      <c r="BS246" s="178"/>
      <c r="BT246" s="178"/>
      <c r="BU246" s="178"/>
    </row>
    <row r="247" spans="2:73" ht="15" customHeight="1" x14ac:dyDescent="0.25">
      <c r="B247" s="178"/>
      <c r="C247" s="179"/>
      <c r="D247" s="178"/>
      <c r="E247" s="178"/>
      <c r="F247" s="178"/>
      <c r="G247" s="178"/>
      <c r="H247" s="178"/>
      <c r="I247" s="178"/>
      <c r="J247" s="178"/>
      <c r="K247" s="178"/>
      <c r="L247" s="178"/>
      <c r="M247" s="178"/>
      <c r="N247" s="178"/>
      <c r="O247" s="178"/>
      <c r="P247" s="178"/>
      <c r="Q247" s="178"/>
      <c r="R247" s="178"/>
      <c r="S247" s="178"/>
      <c r="T247" s="178"/>
      <c r="U247" s="178"/>
      <c r="V247" s="178"/>
      <c r="W247" s="178"/>
      <c r="X247" s="178"/>
      <c r="Y247" s="178"/>
      <c r="Z247" s="178"/>
      <c r="AA247" s="178"/>
      <c r="AB247" s="178"/>
      <c r="AC247" s="178"/>
      <c r="AD247" s="178"/>
      <c r="AE247" s="178"/>
      <c r="AF247" s="178"/>
      <c r="AG247" s="178"/>
      <c r="AH247" s="178"/>
      <c r="AI247" s="178"/>
      <c r="AJ247" s="178"/>
      <c r="AK247" s="178"/>
      <c r="AL247" s="178"/>
      <c r="AM247" s="178"/>
      <c r="AN247" s="178"/>
      <c r="AO247" s="178"/>
      <c r="AP247" s="178"/>
      <c r="AQ247" s="178"/>
      <c r="AR247" s="178"/>
      <c r="AS247" s="178"/>
      <c r="AT247" s="178"/>
      <c r="AU247" s="178"/>
      <c r="AV247" s="178"/>
      <c r="AW247" s="178"/>
      <c r="AX247" s="178"/>
      <c r="AY247" s="178"/>
      <c r="AZ247" s="178"/>
      <c r="BA247" s="178"/>
      <c r="BB247" s="178"/>
      <c r="BC247" s="178"/>
      <c r="BD247" s="178"/>
      <c r="BE247" s="178"/>
      <c r="BF247" s="178"/>
      <c r="BG247" s="178"/>
      <c r="BH247" s="178"/>
      <c r="BI247" s="178"/>
      <c r="BJ247" s="178"/>
      <c r="BK247" s="178"/>
      <c r="BL247" s="178"/>
      <c r="BM247" s="178"/>
      <c r="BN247" s="178"/>
      <c r="BO247" s="178"/>
      <c r="BP247" s="178"/>
      <c r="BQ247" s="178"/>
      <c r="BR247" s="178"/>
      <c r="BS247" s="178"/>
      <c r="BT247" s="178"/>
      <c r="BU247" s="178"/>
    </row>
    <row r="248" spans="2:73" ht="15" customHeight="1" x14ac:dyDescent="0.25">
      <c r="B248" s="178"/>
      <c r="C248" s="179"/>
      <c r="D248" s="178"/>
      <c r="E248" s="178"/>
      <c r="F248" s="178"/>
      <c r="G248" s="178"/>
      <c r="H248" s="178"/>
      <c r="I248" s="178"/>
      <c r="J248" s="178"/>
      <c r="K248" s="178"/>
      <c r="L248" s="178"/>
      <c r="M248" s="178"/>
      <c r="N248" s="178"/>
      <c r="O248" s="178"/>
      <c r="P248" s="178"/>
      <c r="Q248" s="178"/>
      <c r="R248" s="178"/>
      <c r="S248" s="178"/>
      <c r="T248" s="178"/>
      <c r="U248" s="178"/>
      <c r="V248" s="178"/>
      <c r="W248" s="178"/>
      <c r="X248" s="178"/>
      <c r="Y248" s="178"/>
      <c r="Z248" s="178"/>
      <c r="AA248" s="178"/>
      <c r="AB248" s="178"/>
      <c r="AC248" s="178"/>
      <c r="AD248" s="178"/>
      <c r="AE248" s="178"/>
      <c r="AF248" s="178"/>
      <c r="AG248" s="178"/>
      <c r="AH248" s="178"/>
      <c r="AI248" s="178"/>
      <c r="AJ248" s="178"/>
      <c r="AK248" s="178"/>
      <c r="AL248" s="178"/>
      <c r="AM248" s="178"/>
      <c r="AN248" s="178"/>
      <c r="AO248" s="178"/>
      <c r="AP248" s="178"/>
      <c r="AQ248" s="178"/>
      <c r="AR248" s="178"/>
      <c r="AS248" s="178"/>
      <c r="AT248" s="178"/>
      <c r="AU248" s="178"/>
      <c r="AV248" s="178"/>
      <c r="AW248" s="178"/>
      <c r="AX248" s="178"/>
      <c r="AY248" s="178"/>
      <c r="AZ248" s="178"/>
      <c r="BA248" s="178"/>
      <c r="BB248" s="178"/>
      <c r="BC248" s="178"/>
      <c r="BD248" s="178"/>
      <c r="BE248" s="178"/>
      <c r="BF248" s="178"/>
      <c r="BG248" s="178"/>
      <c r="BH248" s="178"/>
      <c r="BI248" s="178"/>
      <c r="BJ248" s="178"/>
      <c r="BK248" s="178"/>
      <c r="BL248" s="178"/>
      <c r="BM248" s="178"/>
      <c r="BN248" s="178"/>
      <c r="BO248" s="178"/>
      <c r="BP248" s="178"/>
      <c r="BQ248" s="178"/>
      <c r="BR248" s="178"/>
      <c r="BS248" s="178"/>
      <c r="BT248" s="178"/>
      <c r="BU248" s="178"/>
    </row>
    <row r="249" spans="2:73" ht="15" customHeight="1" x14ac:dyDescent="0.25">
      <c r="B249" s="178"/>
      <c r="C249" s="179"/>
      <c r="D249" s="178"/>
      <c r="E249" s="178"/>
      <c r="F249" s="178"/>
      <c r="G249" s="178"/>
      <c r="H249" s="178"/>
      <c r="I249" s="178"/>
      <c r="J249" s="178"/>
      <c r="K249" s="178"/>
      <c r="L249" s="178"/>
      <c r="M249" s="178"/>
      <c r="N249" s="178"/>
      <c r="O249" s="178"/>
      <c r="P249" s="178"/>
      <c r="Q249" s="178"/>
      <c r="R249" s="178"/>
      <c r="S249" s="178"/>
      <c r="T249" s="178"/>
      <c r="U249" s="178"/>
      <c r="V249" s="178"/>
      <c r="W249" s="178"/>
      <c r="X249" s="178"/>
      <c r="Y249" s="178"/>
      <c r="Z249" s="178"/>
      <c r="AA249" s="178"/>
      <c r="AB249" s="178"/>
      <c r="AC249" s="178"/>
      <c r="AD249" s="178"/>
      <c r="AE249" s="178"/>
      <c r="AF249" s="178"/>
      <c r="AG249" s="178"/>
      <c r="AH249" s="178"/>
      <c r="AI249" s="178"/>
      <c r="AJ249" s="178"/>
      <c r="AK249" s="178"/>
      <c r="AL249" s="178"/>
      <c r="AM249" s="178"/>
      <c r="AN249" s="178"/>
      <c r="AO249" s="178"/>
      <c r="AP249" s="178"/>
      <c r="AQ249" s="178"/>
      <c r="AR249" s="178"/>
      <c r="AS249" s="178"/>
      <c r="AT249" s="178"/>
      <c r="AU249" s="178"/>
      <c r="AV249" s="178"/>
      <c r="AW249" s="178"/>
      <c r="AX249" s="178"/>
      <c r="AY249" s="178"/>
      <c r="AZ249" s="178"/>
      <c r="BA249" s="178"/>
      <c r="BB249" s="178"/>
      <c r="BC249" s="178"/>
      <c r="BD249" s="178"/>
      <c r="BE249" s="178"/>
      <c r="BF249" s="178"/>
      <c r="BG249" s="178"/>
      <c r="BH249" s="178"/>
      <c r="BI249" s="178"/>
      <c r="BJ249" s="178"/>
      <c r="BK249" s="178"/>
      <c r="BL249" s="178"/>
      <c r="BM249" s="178"/>
      <c r="BN249" s="178"/>
      <c r="BO249" s="178"/>
      <c r="BP249" s="178"/>
      <c r="BQ249" s="178"/>
      <c r="BR249" s="178"/>
      <c r="BS249" s="178"/>
      <c r="BT249" s="178"/>
      <c r="BU249" s="178"/>
    </row>
    <row r="250" spans="2:73" ht="15" customHeight="1" x14ac:dyDescent="0.25">
      <c r="B250" s="178"/>
      <c r="C250" s="179"/>
      <c r="D250" s="178"/>
      <c r="E250" s="178"/>
      <c r="F250" s="178"/>
      <c r="G250" s="178"/>
      <c r="H250" s="178"/>
      <c r="I250" s="178"/>
      <c r="J250" s="178"/>
      <c r="K250" s="178"/>
      <c r="L250" s="178"/>
      <c r="M250" s="178"/>
      <c r="N250" s="178"/>
      <c r="O250" s="178"/>
      <c r="P250" s="178"/>
      <c r="Q250" s="178"/>
      <c r="R250" s="178"/>
      <c r="S250" s="178"/>
      <c r="T250" s="178"/>
      <c r="U250" s="178"/>
      <c r="V250" s="178"/>
      <c r="W250" s="178"/>
      <c r="X250" s="178"/>
      <c r="Y250" s="178"/>
      <c r="Z250" s="178"/>
      <c r="AA250" s="178"/>
      <c r="AB250" s="178"/>
      <c r="AC250" s="178"/>
      <c r="AD250" s="178"/>
      <c r="AE250" s="178"/>
      <c r="AF250" s="178"/>
      <c r="AG250" s="178"/>
      <c r="AH250" s="178"/>
      <c r="AI250" s="178"/>
      <c r="AJ250" s="178"/>
      <c r="AK250" s="178"/>
      <c r="AL250" s="178"/>
      <c r="AM250" s="178"/>
      <c r="AN250" s="178"/>
      <c r="AO250" s="178"/>
      <c r="AP250" s="178"/>
      <c r="AQ250" s="178"/>
      <c r="AR250" s="178"/>
      <c r="AS250" s="178"/>
      <c r="AT250" s="178"/>
      <c r="AU250" s="178"/>
      <c r="AV250" s="178"/>
      <c r="AW250" s="178"/>
      <c r="AX250" s="178"/>
      <c r="AY250" s="178"/>
      <c r="AZ250" s="178"/>
      <c r="BA250" s="178"/>
      <c r="BB250" s="178"/>
      <c r="BC250" s="178"/>
      <c r="BD250" s="178"/>
      <c r="BE250" s="178"/>
      <c r="BF250" s="178"/>
      <c r="BG250" s="178"/>
      <c r="BH250" s="178"/>
      <c r="BI250" s="178"/>
      <c r="BJ250" s="178"/>
      <c r="BK250" s="178"/>
      <c r="BL250" s="178"/>
      <c r="BM250" s="178"/>
      <c r="BN250" s="178"/>
      <c r="BO250" s="178"/>
      <c r="BP250" s="178"/>
      <c r="BQ250" s="178"/>
      <c r="BR250" s="178"/>
      <c r="BS250" s="178"/>
      <c r="BT250" s="178"/>
      <c r="BU250" s="178"/>
    </row>
    <row r="251" spans="2:73" ht="15" customHeight="1" x14ac:dyDescent="0.25">
      <c r="B251" s="178"/>
      <c r="C251" s="179"/>
      <c r="D251" s="178"/>
      <c r="E251" s="178"/>
      <c r="F251" s="178"/>
      <c r="G251" s="178"/>
      <c r="H251" s="178"/>
      <c r="I251" s="178"/>
      <c r="J251" s="178"/>
      <c r="K251" s="178"/>
      <c r="L251" s="178"/>
      <c r="M251" s="178"/>
      <c r="N251" s="178"/>
      <c r="O251" s="178"/>
      <c r="P251" s="178"/>
      <c r="Q251" s="178"/>
      <c r="R251" s="178"/>
      <c r="S251" s="178"/>
      <c r="T251" s="178"/>
      <c r="U251" s="178"/>
      <c r="V251" s="178"/>
      <c r="W251" s="178"/>
      <c r="X251" s="178"/>
      <c r="Y251" s="178"/>
      <c r="Z251" s="178"/>
      <c r="AA251" s="178"/>
      <c r="AB251" s="178"/>
      <c r="AC251" s="178"/>
      <c r="AD251" s="178"/>
      <c r="AE251" s="178"/>
      <c r="AF251" s="178"/>
      <c r="AG251" s="178"/>
      <c r="AH251" s="178"/>
      <c r="AI251" s="178"/>
      <c r="AJ251" s="178"/>
      <c r="AK251" s="178"/>
      <c r="AL251" s="178"/>
      <c r="AM251" s="178"/>
      <c r="AN251" s="178"/>
      <c r="AO251" s="178"/>
      <c r="AP251" s="178"/>
      <c r="AQ251" s="178"/>
      <c r="AR251" s="178"/>
      <c r="AS251" s="178"/>
      <c r="AT251" s="178"/>
      <c r="AU251" s="178"/>
      <c r="AV251" s="178"/>
      <c r="AW251" s="178"/>
      <c r="AX251" s="178"/>
      <c r="AY251" s="178"/>
      <c r="AZ251" s="178"/>
      <c r="BA251" s="178"/>
      <c r="BB251" s="178"/>
      <c r="BC251" s="178"/>
      <c r="BD251" s="178"/>
      <c r="BE251" s="178"/>
      <c r="BF251" s="178"/>
      <c r="BG251" s="178"/>
      <c r="BH251" s="178"/>
      <c r="BI251" s="178"/>
      <c r="BJ251" s="178"/>
      <c r="BK251" s="178"/>
      <c r="BL251" s="178"/>
      <c r="BM251" s="178"/>
      <c r="BN251" s="178"/>
      <c r="BO251" s="178"/>
      <c r="BP251" s="178"/>
      <c r="BQ251" s="178"/>
      <c r="BR251" s="178"/>
      <c r="BS251" s="178"/>
      <c r="BT251" s="178"/>
      <c r="BU251" s="178"/>
    </row>
    <row r="252" spans="2:73" ht="15" customHeight="1" x14ac:dyDescent="0.25">
      <c r="B252" s="178"/>
      <c r="C252" s="179"/>
      <c r="D252" s="178"/>
      <c r="E252" s="178"/>
      <c r="F252" s="178"/>
      <c r="G252" s="178"/>
      <c r="H252" s="178"/>
      <c r="I252" s="178"/>
      <c r="J252" s="178"/>
      <c r="K252" s="178"/>
      <c r="L252" s="178"/>
      <c r="M252" s="178"/>
      <c r="N252" s="178"/>
      <c r="O252" s="178"/>
      <c r="P252" s="178"/>
      <c r="Q252" s="178"/>
      <c r="R252" s="178"/>
      <c r="S252" s="178"/>
      <c r="T252" s="178"/>
      <c r="U252" s="178"/>
      <c r="V252" s="178"/>
      <c r="W252" s="178"/>
      <c r="X252" s="178"/>
      <c r="Y252" s="178"/>
      <c r="Z252" s="178"/>
      <c r="AA252" s="178"/>
      <c r="AB252" s="178"/>
      <c r="AC252" s="178"/>
      <c r="AD252" s="178"/>
      <c r="AE252" s="178"/>
      <c r="AF252" s="178"/>
      <c r="AG252" s="178"/>
      <c r="AH252" s="178"/>
      <c r="AI252" s="178"/>
      <c r="AJ252" s="178"/>
      <c r="AK252" s="178"/>
      <c r="AL252" s="178"/>
      <c r="AM252" s="178"/>
      <c r="AN252" s="178"/>
      <c r="AO252" s="178"/>
      <c r="AP252" s="178"/>
      <c r="AQ252" s="178"/>
      <c r="AR252" s="178"/>
      <c r="AS252" s="178"/>
      <c r="AT252" s="178"/>
      <c r="AU252" s="178"/>
      <c r="AV252" s="178"/>
      <c r="AW252" s="178"/>
      <c r="AX252" s="178"/>
      <c r="AY252" s="178"/>
      <c r="AZ252" s="178"/>
      <c r="BA252" s="178"/>
      <c r="BB252" s="178"/>
      <c r="BC252" s="178"/>
      <c r="BD252" s="178"/>
      <c r="BE252" s="178"/>
      <c r="BF252" s="178"/>
      <c r="BG252" s="178"/>
      <c r="BH252" s="178"/>
      <c r="BI252" s="178"/>
      <c r="BJ252" s="178"/>
      <c r="BK252" s="178"/>
      <c r="BL252" s="178"/>
      <c r="BM252" s="178"/>
      <c r="BN252" s="178"/>
      <c r="BO252" s="178"/>
      <c r="BP252" s="178"/>
      <c r="BQ252" s="178"/>
      <c r="BR252" s="178"/>
      <c r="BS252" s="178"/>
      <c r="BT252" s="178"/>
      <c r="BU252" s="178"/>
    </row>
    <row r="253" spans="2:73" ht="15" customHeight="1" x14ac:dyDescent="0.25">
      <c r="B253" s="178"/>
      <c r="C253" s="179"/>
      <c r="D253" s="178"/>
      <c r="E253" s="178"/>
      <c r="F253" s="178"/>
      <c r="G253" s="178"/>
      <c r="H253" s="178"/>
      <c r="I253" s="178"/>
      <c r="J253" s="178"/>
      <c r="K253" s="178"/>
      <c r="L253" s="178"/>
      <c r="M253" s="178"/>
      <c r="N253" s="178"/>
      <c r="O253" s="178"/>
      <c r="P253" s="178"/>
      <c r="Q253" s="178"/>
      <c r="R253" s="178"/>
      <c r="S253" s="178"/>
      <c r="T253" s="178"/>
      <c r="U253" s="178"/>
      <c r="V253" s="178"/>
      <c r="W253" s="178"/>
      <c r="X253" s="178"/>
      <c r="Y253" s="178"/>
      <c r="Z253" s="178"/>
      <c r="AA253" s="178"/>
      <c r="AB253" s="178"/>
      <c r="AC253" s="178"/>
      <c r="AD253" s="178"/>
      <c r="AE253" s="178"/>
      <c r="AF253" s="178"/>
      <c r="AG253" s="178"/>
      <c r="AH253" s="178"/>
      <c r="AI253" s="178"/>
      <c r="AJ253" s="178"/>
      <c r="AK253" s="178"/>
      <c r="AL253" s="178"/>
      <c r="AM253" s="178"/>
      <c r="AN253" s="178"/>
      <c r="AO253" s="178"/>
      <c r="AP253" s="178"/>
      <c r="AQ253" s="178"/>
      <c r="AR253" s="178"/>
      <c r="AS253" s="178"/>
      <c r="AT253" s="178"/>
      <c r="AU253" s="178"/>
      <c r="AV253" s="178"/>
      <c r="AW253" s="178"/>
      <c r="AX253" s="178"/>
      <c r="AY253" s="178"/>
      <c r="AZ253" s="178"/>
      <c r="BA253" s="178"/>
      <c r="BB253" s="178"/>
      <c r="BC253" s="178"/>
      <c r="BD253" s="178"/>
      <c r="BE253" s="178"/>
      <c r="BF253" s="178"/>
      <c r="BG253" s="178"/>
      <c r="BH253" s="178"/>
      <c r="BI253" s="178"/>
      <c r="BJ253" s="178"/>
      <c r="BK253" s="178"/>
      <c r="BL253" s="178"/>
      <c r="BM253" s="178"/>
      <c r="BN253" s="178"/>
      <c r="BO253" s="178"/>
      <c r="BP253" s="178"/>
      <c r="BQ253" s="178"/>
      <c r="BR253" s="178"/>
      <c r="BS253" s="178"/>
      <c r="BT253" s="178"/>
      <c r="BU253" s="178"/>
    </row>
    <row r="254" spans="2:73" ht="15" customHeight="1" x14ac:dyDescent="0.25">
      <c r="B254" s="178"/>
      <c r="C254" s="179"/>
      <c r="D254" s="178"/>
      <c r="E254" s="178"/>
      <c r="F254" s="178"/>
      <c r="G254" s="178"/>
      <c r="H254" s="178"/>
      <c r="I254" s="178"/>
      <c r="J254" s="178"/>
      <c r="K254" s="178"/>
      <c r="L254" s="178"/>
      <c r="M254" s="178"/>
      <c r="N254" s="178"/>
      <c r="O254" s="178"/>
      <c r="P254" s="178"/>
      <c r="Q254" s="178"/>
      <c r="R254" s="178"/>
      <c r="S254" s="178"/>
      <c r="T254" s="178"/>
      <c r="U254" s="178"/>
      <c r="V254" s="178"/>
      <c r="W254" s="178"/>
      <c r="X254" s="178"/>
      <c r="Y254" s="178"/>
      <c r="Z254" s="178"/>
      <c r="AA254" s="178"/>
      <c r="AB254" s="178"/>
      <c r="AC254" s="178"/>
      <c r="AD254" s="178"/>
      <c r="AE254" s="178"/>
      <c r="AF254" s="178"/>
      <c r="AG254" s="178"/>
      <c r="AH254" s="178"/>
      <c r="AI254" s="178"/>
      <c r="AJ254" s="178"/>
      <c r="AK254" s="178"/>
      <c r="AL254" s="178"/>
      <c r="AM254" s="178"/>
      <c r="AN254" s="178"/>
      <c r="AO254" s="178"/>
      <c r="AP254" s="178"/>
      <c r="AQ254" s="178"/>
      <c r="AR254" s="178"/>
      <c r="AS254" s="178"/>
      <c r="AT254" s="178"/>
      <c r="AU254" s="178"/>
      <c r="AV254" s="178"/>
      <c r="AW254" s="178"/>
      <c r="AX254" s="178"/>
      <c r="AY254" s="178"/>
      <c r="AZ254" s="178"/>
      <c r="BA254" s="178"/>
      <c r="BB254" s="178"/>
      <c r="BC254" s="178"/>
      <c r="BD254" s="178"/>
      <c r="BE254" s="178"/>
      <c r="BF254" s="178"/>
      <c r="BG254" s="178"/>
      <c r="BH254" s="178"/>
      <c r="BI254" s="178"/>
      <c r="BJ254" s="178"/>
      <c r="BK254" s="178"/>
      <c r="BL254" s="178"/>
      <c r="BM254" s="178"/>
      <c r="BN254" s="178"/>
      <c r="BO254" s="178"/>
      <c r="BP254" s="178"/>
      <c r="BQ254" s="178"/>
      <c r="BR254" s="178"/>
      <c r="BS254" s="178"/>
      <c r="BT254" s="178"/>
      <c r="BU254" s="178"/>
    </row>
    <row r="255" spans="2:73" ht="15" customHeight="1" x14ac:dyDescent="0.25">
      <c r="B255" s="178"/>
      <c r="C255" s="179"/>
      <c r="D255" s="178"/>
      <c r="E255" s="178"/>
      <c r="F255" s="178"/>
      <c r="G255" s="178"/>
      <c r="H255" s="178"/>
      <c r="I255" s="178"/>
      <c r="J255" s="178"/>
      <c r="K255" s="178"/>
      <c r="L255" s="178"/>
      <c r="M255" s="178"/>
      <c r="N255" s="178"/>
      <c r="O255" s="178"/>
      <c r="P255" s="178"/>
      <c r="Q255" s="178"/>
      <c r="R255" s="178"/>
      <c r="S255" s="178"/>
      <c r="T255" s="178"/>
      <c r="U255" s="178"/>
      <c r="V255" s="178"/>
      <c r="W255" s="178"/>
      <c r="X255" s="178"/>
      <c r="Y255" s="178"/>
      <c r="Z255" s="178"/>
      <c r="AA255" s="178"/>
      <c r="AB255" s="178"/>
      <c r="AC255" s="178"/>
      <c r="AD255" s="178"/>
      <c r="AE255" s="178"/>
      <c r="AF255" s="178"/>
      <c r="AG255" s="178"/>
      <c r="AH255" s="178"/>
      <c r="AI255" s="178"/>
      <c r="AJ255" s="178"/>
      <c r="AK255" s="178"/>
      <c r="AL255" s="178"/>
      <c r="AM255" s="178"/>
      <c r="AN255" s="178"/>
      <c r="AO255" s="178"/>
      <c r="AP255" s="178"/>
      <c r="AQ255" s="178"/>
      <c r="AR255" s="178"/>
      <c r="AS255" s="178"/>
      <c r="AT255" s="178"/>
      <c r="AU255" s="178"/>
      <c r="AV255" s="178"/>
      <c r="AW255" s="178"/>
      <c r="AX255" s="178"/>
      <c r="AY255" s="178"/>
      <c r="AZ255" s="178"/>
      <c r="BA255" s="178"/>
      <c r="BB255" s="178"/>
      <c r="BC255" s="178"/>
      <c r="BD255" s="178"/>
      <c r="BE255" s="178"/>
      <c r="BF255" s="178"/>
      <c r="BG255" s="178"/>
      <c r="BH255" s="178"/>
      <c r="BI255" s="178"/>
      <c r="BJ255" s="178"/>
      <c r="BK255" s="178"/>
      <c r="BL255" s="178"/>
      <c r="BM255" s="178"/>
      <c r="BN255" s="178"/>
      <c r="BO255" s="178"/>
      <c r="BP255" s="178"/>
      <c r="BQ255" s="178"/>
      <c r="BR255" s="178"/>
      <c r="BS255" s="178"/>
      <c r="BT255" s="178"/>
      <c r="BU255" s="178"/>
    </row>
    <row r="256" spans="2:73" ht="15" customHeight="1" x14ac:dyDescent="0.25">
      <c r="B256" s="178"/>
      <c r="C256" s="179"/>
      <c r="D256" s="178"/>
      <c r="E256" s="178"/>
      <c r="F256" s="178"/>
      <c r="G256" s="178"/>
      <c r="H256" s="178"/>
      <c r="I256" s="178"/>
      <c r="J256" s="178"/>
      <c r="K256" s="178"/>
      <c r="L256" s="178"/>
      <c r="M256" s="178"/>
      <c r="N256" s="178"/>
      <c r="O256" s="178"/>
      <c r="P256" s="178"/>
      <c r="Q256" s="178"/>
      <c r="R256" s="178"/>
      <c r="S256" s="178"/>
      <c r="T256" s="178"/>
      <c r="U256" s="178"/>
      <c r="V256" s="178"/>
      <c r="W256" s="178"/>
      <c r="X256" s="178"/>
      <c r="Y256" s="178"/>
      <c r="Z256" s="178"/>
      <c r="AA256" s="178"/>
      <c r="AB256" s="178"/>
      <c r="AC256" s="178"/>
      <c r="AD256" s="178"/>
      <c r="AE256" s="178"/>
      <c r="AF256" s="178"/>
      <c r="AG256" s="178"/>
      <c r="AH256" s="178"/>
      <c r="AI256" s="178"/>
      <c r="AJ256" s="178"/>
      <c r="AK256" s="178"/>
      <c r="AL256" s="178"/>
      <c r="AM256" s="178"/>
      <c r="AN256" s="178"/>
      <c r="AO256" s="178"/>
      <c r="AP256" s="178"/>
      <c r="AQ256" s="178"/>
      <c r="AR256" s="178"/>
      <c r="AS256" s="178"/>
      <c r="AT256" s="178"/>
      <c r="AU256" s="178"/>
      <c r="AV256" s="178"/>
      <c r="AW256" s="178"/>
      <c r="AX256" s="178"/>
      <c r="AY256" s="178"/>
      <c r="AZ256" s="178"/>
      <c r="BA256" s="178"/>
      <c r="BB256" s="178"/>
      <c r="BC256" s="178"/>
      <c r="BD256" s="178"/>
      <c r="BE256" s="178"/>
      <c r="BF256" s="178"/>
      <c r="BG256" s="178"/>
      <c r="BH256" s="178"/>
      <c r="BI256" s="178"/>
      <c r="BJ256" s="178"/>
      <c r="BK256" s="178"/>
      <c r="BL256" s="178"/>
      <c r="BM256" s="178"/>
      <c r="BN256" s="178"/>
      <c r="BO256" s="178"/>
      <c r="BP256" s="178"/>
      <c r="BQ256" s="178"/>
      <c r="BR256" s="178"/>
      <c r="BS256" s="178"/>
      <c r="BT256" s="178"/>
      <c r="BU256" s="178"/>
    </row>
    <row r="257" spans="2:73" ht="15" customHeight="1" x14ac:dyDescent="0.25">
      <c r="B257" s="178"/>
      <c r="C257" s="179"/>
      <c r="D257" s="178"/>
      <c r="E257" s="178"/>
      <c r="F257" s="178"/>
      <c r="G257" s="178"/>
      <c r="H257" s="178"/>
      <c r="I257" s="178"/>
      <c r="J257" s="178"/>
      <c r="K257" s="178"/>
      <c r="L257" s="178"/>
      <c r="M257" s="178"/>
      <c r="N257" s="178"/>
      <c r="O257" s="178"/>
      <c r="P257" s="178"/>
      <c r="Q257" s="178"/>
      <c r="R257" s="178"/>
      <c r="S257" s="178"/>
      <c r="T257" s="178"/>
      <c r="U257" s="178"/>
      <c r="V257" s="178"/>
      <c r="W257" s="178"/>
      <c r="X257" s="178"/>
      <c r="Y257" s="178"/>
      <c r="Z257" s="178"/>
      <c r="AA257" s="178"/>
      <c r="AB257" s="178"/>
      <c r="AC257" s="178"/>
      <c r="AD257" s="178"/>
      <c r="AE257" s="178"/>
      <c r="AF257" s="178"/>
      <c r="AG257" s="178"/>
      <c r="AH257" s="178"/>
      <c r="AI257" s="178"/>
      <c r="AJ257" s="178"/>
      <c r="AK257" s="178"/>
      <c r="AL257" s="178"/>
      <c r="AM257" s="178"/>
      <c r="AN257" s="178"/>
      <c r="AO257" s="178"/>
      <c r="AP257" s="178"/>
      <c r="AQ257" s="178"/>
      <c r="AR257" s="178"/>
      <c r="AS257" s="178"/>
      <c r="AT257" s="178"/>
      <c r="AU257" s="178"/>
      <c r="AV257" s="178"/>
      <c r="AW257" s="178"/>
      <c r="AX257" s="178"/>
      <c r="AY257" s="178"/>
      <c r="AZ257" s="178"/>
      <c r="BA257" s="178"/>
      <c r="BB257" s="178"/>
      <c r="BC257" s="178"/>
      <c r="BD257" s="178"/>
      <c r="BE257" s="178"/>
      <c r="BF257" s="178"/>
      <c r="BG257" s="178"/>
      <c r="BH257" s="178"/>
      <c r="BI257" s="178"/>
      <c r="BJ257" s="178"/>
      <c r="BK257" s="178"/>
      <c r="BL257" s="178"/>
      <c r="BM257" s="178"/>
      <c r="BN257" s="178"/>
      <c r="BO257" s="178"/>
      <c r="BP257" s="178"/>
      <c r="BQ257" s="178"/>
      <c r="BR257" s="178"/>
      <c r="BS257" s="178"/>
      <c r="BT257" s="178"/>
      <c r="BU257" s="178"/>
    </row>
    <row r="258" spans="2:73" ht="15" customHeight="1" x14ac:dyDescent="0.25">
      <c r="B258" s="178"/>
      <c r="C258" s="179"/>
      <c r="D258" s="178"/>
      <c r="E258" s="178"/>
      <c r="F258" s="178"/>
      <c r="G258" s="178"/>
      <c r="H258" s="178"/>
      <c r="I258" s="178"/>
      <c r="J258" s="178"/>
      <c r="K258" s="178"/>
      <c r="L258" s="178"/>
      <c r="M258" s="178"/>
      <c r="N258" s="178"/>
      <c r="O258" s="178"/>
      <c r="P258" s="178"/>
      <c r="Q258" s="178"/>
      <c r="R258" s="178"/>
      <c r="S258" s="178"/>
      <c r="T258" s="178"/>
      <c r="U258" s="178"/>
      <c r="V258" s="178"/>
      <c r="W258" s="178"/>
      <c r="X258" s="178"/>
      <c r="Y258" s="178"/>
      <c r="Z258" s="178"/>
      <c r="AA258" s="178"/>
      <c r="AB258" s="178"/>
      <c r="AC258" s="178"/>
      <c r="AD258" s="178"/>
      <c r="AE258" s="178"/>
      <c r="AF258" s="178"/>
      <c r="AG258" s="178"/>
      <c r="AH258" s="178"/>
      <c r="AI258" s="178"/>
      <c r="AJ258" s="178"/>
      <c r="AK258" s="178"/>
      <c r="AL258" s="178"/>
      <c r="AM258" s="178"/>
      <c r="AN258" s="178"/>
      <c r="AO258" s="178"/>
      <c r="AP258" s="178"/>
      <c r="AQ258" s="178"/>
      <c r="AR258" s="178"/>
      <c r="AS258" s="178"/>
      <c r="AT258" s="178"/>
      <c r="AU258" s="178"/>
      <c r="AV258" s="178"/>
      <c r="AW258" s="178"/>
      <c r="AX258" s="178"/>
      <c r="AY258" s="178"/>
      <c r="AZ258" s="178"/>
      <c r="BA258" s="178"/>
      <c r="BB258" s="178"/>
      <c r="BC258" s="178"/>
      <c r="BD258" s="178"/>
      <c r="BE258" s="178"/>
      <c r="BF258" s="178"/>
      <c r="BG258" s="178"/>
      <c r="BH258" s="178"/>
      <c r="BI258" s="178"/>
      <c r="BJ258" s="178"/>
      <c r="BK258" s="178"/>
      <c r="BL258" s="178"/>
      <c r="BM258" s="178"/>
      <c r="BN258" s="178"/>
      <c r="BO258" s="178"/>
      <c r="BP258" s="178"/>
      <c r="BQ258" s="178"/>
      <c r="BR258" s="178"/>
      <c r="BS258" s="178"/>
      <c r="BT258" s="178"/>
      <c r="BU258" s="178"/>
    </row>
    <row r="259" spans="2:73" ht="15" customHeight="1" x14ac:dyDescent="0.25">
      <c r="B259" s="178"/>
      <c r="C259" s="179"/>
      <c r="D259" s="178"/>
      <c r="E259" s="178"/>
      <c r="F259" s="178"/>
      <c r="G259" s="178"/>
      <c r="H259" s="178"/>
      <c r="I259" s="178"/>
      <c r="J259" s="178"/>
      <c r="K259" s="178"/>
      <c r="L259" s="178"/>
      <c r="M259" s="178"/>
      <c r="N259" s="178"/>
      <c r="O259" s="178"/>
      <c r="P259" s="178"/>
      <c r="Q259" s="178"/>
      <c r="R259" s="178"/>
      <c r="S259" s="178"/>
      <c r="T259" s="178"/>
      <c r="U259" s="178"/>
      <c r="V259" s="178"/>
      <c r="W259" s="178"/>
      <c r="X259" s="178"/>
      <c r="Y259" s="178"/>
      <c r="Z259" s="178"/>
      <c r="AA259" s="178"/>
      <c r="AB259" s="178"/>
      <c r="AC259" s="178"/>
      <c r="AD259" s="178"/>
      <c r="AE259" s="178"/>
      <c r="AF259" s="178"/>
      <c r="AG259" s="178"/>
      <c r="AH259" s="178"/>
      <c r="AI259" s="178"/>
      <c r="AJ259" s="178"/>
      <c r="AK259" s="178"/>
      <c r="AL259" s="178"/>
      <c r="AM259" s="178"/>
      <c r="AN259" s="178"/>
      <c r="AO259" s="178"/>
      <c r="AP259" s="178"/>
      <c r="AQ259" s="178"/>
      <c r="AR259" s="178"/>
      <c r="AS259" s="178"/>
      <c r="AT259" s="178"/>
      <c r="AU259" s="178"/>
      <c r="AV259" s="178"/>
      <c r="AW259" s="178"/>
      <c r="AX259" s="178"/>
      <c r="AY259" s="178"/>
      <c r="AZ259" s="178"/>
      <c r="BA259" s="178"/>
      <c r="BB259" s="178"/>
      <c r="BC259" s="178"/>
      <c r="BD259" s="178"/>
      <c r="BE259" s="178"/>
      <c r="BF259" s="178"/>
      <c r="BG259" s="178"/>
      <c r="BH259" s="178"/>
      <c r="BI259" s="178"/>
      <c r="BJ259" s="178"/>
      <c r="BK259" s="178"/>
      <c r="BL259" s="178"/>
      <c r="BM259" s="178"/>
      <c r="BN259" s="178"/>
      <c r="BO259" s="178"/>
      <c r="BP259" s="178"/>
      <c r="BQ259" s="178"/>
      <c r="BR259" s="178"/>
      <c r="BS259" s="178"/>
      <c r="BT259" s="178"/>
      <c r="BU259" s="178"/>
    </row>
    <row r="260" spans="2:73" ht="15" customHeight="1" x14ac:dyDescent="0.25">
      <c r="B260" s="178"/>
      <c r="C260" s="179"/>
      <c r="D260" s="178"/>
      <c r="E260" s="178"/>
      <c r="F260" s="178"/>
      <c r="G260" s="178"/>
      <c r="H260" s="178"/>
      <c r="I260" s="178"/>
      <c r="J260" s="178"/>
      <c r="K260" s="178"/>
      <c r="L260" s="178"/>
      <c r="M260" s="178"/>
      <c r="N260" s="178"/>
      <c r="O260" s="178"/>
      <c r="P260" s="178"/>
      <c r="Q260" s="178"/>
      <c r="R260" s="178"/>
      <c r="S260" s="178"/>
      <c r="T260" s="178"/>
      <c r="U260" s="178"/>
      <c r="V260" s="178"/>
      <c r="W260" s="178"/>
      <c r="X260" s="178"/>
      <c r="Y260" s="178"/>
      <c r="Z260" s="178"/>
      <c r="AA260" s="178"/>
      <c r="AB260" s="178"/>
      <c r="AC260" s="178"/>
      <c r="AD260" s="178"/>
      <c r="AE260" s="178"/>
      <c r="AF260" s="178"/>
      <c r="AG260" s="178"/>
      <c r="AH260" s="178"/>
      <c r="AI260" s="178"/>
      <c r="AJ260" s="178"/>
      <c r="AK260" s="178"/>
      <c r="AL260" s="178"/>
      <c r="AM260" s="178"/>
      <c r="AN260" s="178"/>
      <c r="AO260" s="178"/>
      <c r="AP260" s="178"/>
      <c r="AQ260" s="178"/>
      <c r="AR260" s="178"/>
      <c r="AS260" s="178"/>
      <c r="AT260" s="178"/>
      <c r="AU260" s="178"/>
      <c r="AV260" s="178"/>
      <c r="AW260" s="178"/>
      <c r="AX260" s="178"/>
      <c r="AY260" s="178"/>
      <c r="AZ260" s="178"/>
      <c r="BA260" s="178"/>
      <c r="BB260" s="178"/>
      <c r="BC260" s="178"/>
      <c r="BD260" s="178"/>
      <c r="BE260" s="178"/>
      <c r="BF260" s="178"/>
      <c r="BG260" s="178"/>
      <c r="BH260" s="178"/>
      <c r="BI260" s="178"/>
      <c r="BJ260" s="178"/>
      <c r="BK260" s="178"/>
      <c r="BL260" s="178"/>
      <c r="BM260" s="178"/>
      <c r="BN260" s="178"/>
      <c r="BO260" s="178"/>
      <c r="BP260" s="178"/>
      <c r="BQ260" s="178"/>
      <c r="BR260" s="178"/>
      <c r="BS260" s="178"/>
      <c r="BT260" s="178"/>
      <c r="BU260" s="178"/>
    </row>
    <row r="261" spans="2:73" ht="15" customHeight="1" x14ac:dyDescent="0.25">
      <c r="B261" s="178"/>
      <c r="C261" s="179"/>
      <c r="D261" s="178"/>
      <c r="E261" s="178"/>
      <c r="F261" s="178"/>
      <c r="G261" s="178"/>
      <c r="H261" s="178"/>
      <c r="I261" s="178"/>
      <c r="J261" s="178"/>
      <c r="K261" s="178"/>
      <c r="L261" s="178"/>
      <c r="M261" s="178"/>
      <c r="N261" s="178"/>
      <c r="O261" s="178"/>
      <c r="P261" s="178"/>
      <c r="Q261" s="178"/>
      <c r="R261" s="178"/>
      <c r="S261" s="178"/>
      <c r="T261" s="178"/>
      <c r="U261" s="178"/>
      <c r="V261" s="178"/>
      <c r="W261" s="178"/>
      <c r="X261" s="178"/>
      <c r="Y261" s="178"/>
      <c r="Z261" s="178"/>
      <c r="AA261" s="178"/>
      <c r="AB261" s="178"/>
      <c r="AC261" s="178"/>
      <c r="AD261" s="178"/>
      <c r="AE261" s="178"/>
      <c r="AF261" s="178"/>
      <c r="AG261" s="178"/>
      <c r="AH261" s="178"/>
      <c r="AI261" s="178"/>
      <c r="AJ261" s="178"/>
      <c r="AK261" s="178"/>
      <c r="AL261" s="178"/>
      <c r="AM261" s="178"/>
      <c r="AN261" s="178"/>
      <c r="AO261" s="178"/>
      <c r="AP261" s="178"/>
      <c r="AQ261" s="178"/>
      <c r="AR261" s="178"/>
      <c r="AS261" s="178"/>
      <c r="AT261" s="178"/>
      <c r="AU261" s="178"/>
      <c r="AV261" s="178"/>
      <c r="AW261" s="178"/>
      <c r="AX261" s="178"/>
      <c r="AY261" s="178"/>
      <c r="AZ261" s="178"/>
      <c r="BA261" s="178"/>
      <c r="BB261" s="178"/>
      <c r="BC261" s="178"/>
      <c r="BD261" s="178"/>
      <c r="BE261" s="178"/>
      <c r="BF261" s="178"/>
      <c r="BG261" s="178"/>
      <c r="BH261" s="178"/>
      <c r="BI261" s="178"/>
      <c r="BJ261" s="178"/>
      <c r="BK261" s="178"/>
      <c r="BL261" s="178"/>
      <c r="BM261" s="178"/>
      <c r="BN261" s="178"/>
      <c r="BO261" s="178"/>
      <c r="BP261" s="178"/>
      <c r="BQ261" s="178"/>
      <c r="BR261" s="178"/>
      <c r="BS261" s="178"/>
      <c r="BT261" s="178"/>
      <c r="BU261" s="178"/>
    </row>
    <row r="262" spans="2:73" ht="15" customHeight="1" x14ac:dyDescent="0.25">
      <c r="B262" s="178"/>
      <c r="C262" s="179"/>
      <c r="D262" s="178"/>
      <c r="E262" s="178"/>
      <c r="F262" s="178"/>
      <c r="G262" s="178"/>
      <c r="H262" s="178"/>
      <c r="I262" s="178"/>
      <c r="J262" s="178"/>
      <c r="K262" s="178"/>
      <c r="L262" s="178"/>
      <c r="M262" s="178"/>
      <c r="N262" s="178"/>
      <c r="O262" s="178"/>
      <c r="P262" s="178"/>
      <c r="Q262" s="178"/>
      <c r="R262" s="178"/>
      <c r="S262" s="178"/>
      <c r="T262" s="178"/>
      <c r="U262" s="178"/>
      <c r="V262" s="178"/>
      <c r="W262" s="178"/>
      <c r="X262" s="178"/>
      <c r="Y262" s="178"/>
      <c r="Z262" s="178"/>
      <c r="AA262" s="178"/>
      <c r="AB262" s="178"/>
      <c r="AC262" s="178"/>
      <c r="AD262" s="178"/>
      <c r="AE262" s="178"/>
      <c r="AF262" s="178"/>
      <c r="AG262" s="178"/>
      <c r="AH262" s="178"/>
      <c r="AI262" s="178"/>
      <c r="AJ262" s="178"/>
      <c r="AK262" s="178"/>
      <c r="AL262" s="178"/>
      <c r="AM262" s="178"/>
      <c r="AN262" s="178"/>
      <c r="AO262" s="178"/>
      <c r="AP262" s="178"/>
      <c r="AQ262" s="178"/>
      <c r="AR262" s="178"/>
      <c r="AS262" s="178"/>
      <c r="AT262" s="178"/>
      <c r="AU262" s="178"/>
      <c r="AV262" s="178"/>
      <c r="AW262" s="178"/>
      <c r="AX262" s="178"/>
      <c r="AY262" s="178"/>
      <c r="AZ262" s="178"/>
      <c r="BA262" s="178"/>
      <c r="BB262" s="178"/>
      <c r="BC262" s="178"/>
      <c r="BD262" s="178"/>
      <c r="BE262" s="178"/>
      <c r="BF262" s="178"/>
      <c r="BG262" s="178"/>
      <c r="BH262" s="178"/>
      <c r="BI262" s="178"/>
      <c r="BJ262" s="178"/>
      <c r="BK262" s="178"/>
      <c r="BL262" s="178"/>
      <c r="BM262" s="178"/>
      <c r="BN262" s="178"/>
      <c r="BO262" s="178"/>
      <c r="BP262" s="178"/>
      <c r="BQ262" s="178"/>
      <c r="BR262" s="178"/>
      <c r="BS262" s="178"/>
      <c r="BT262" s="178"/>
      <c r="BU262" s="178"/>
    </row>
    <row r="263" spans="2:73" ht="15" customHeight="1" x14ac:dyDescent="0.25">
      <c r="B263" s="178"/>
      <c r="C263" s="179"/>
      <c r="D263" s="178"/>
      <c r="E263" s="178"/>
      <c r="F263" s="178"/>
      <c r="G263" s="178"/>
      <c r="H263" s="178"/>
      <c r="I263" s="178"/>
      <c r="J263" s="178"/>
      <c r="K263" s="178"/>
      <c r="L263" s="178"/>
      <c r="M263" s="178"/>
      <c r="N263" s="178"/>
      <c r="O263" s="178"/>
      <c r="P263" s="178"/>
      <c r="Q263" s="178"/>
      <c r="R263" s="178"/>
      <c r="S263" s="178"/>
      <c r="T263" s="178"/>
      <c r="U263" s="178"/>
      <c r="V263" s="178"/>
      <c r="W263" s="178"/>
      <c r="X263" s="178"/>
      <c r="Y263" s="178"/>
      <c r="Z263" s="178"/>
      <c r="AA263" s="178"/>
      <c r="AB263" s="178"/>
      <c r="AC263" s="178"/>
      <c r="AD263" s="178"/>
      <c r="AE263" s="178"/>
      <c r="AF263" s="178"/>
      <c r="AG263" s="178"/>
      <c r="AH263" s="178"/>
      <c r="AI263" s="178"/>
      <c r="AJ263" s="178"/>
      <c r="AK263" s="178"/>
      <c r="AL263" s="178"/>
      <c r="AM263" s="178"/>
      <c r="AN263" s="178"/>
      <c r="AO263" s="178"/>
      <c r="AP263" s="178"/>
      <c r="AQ263" s="178"/>
      <c r="AR263" s="178"/>
      <c r="AS263" s="178"/>
      <c r="AT263" s="178"/>
      <c r="AU263" s="178"/>
      <c r="AV263" s="178"/>
      <c r="AW263" s="178"/>
      <c r="AX263" s="178"/>
      <c r="AY263" s="178"/>
      <c r="AZ263" s="178"/>
      <c r="BA263" s="178"/>
      <c r="BB263" s="178"/>
      <c r="BC263" s="178"/>
      <c r="BD263" s="178"/>
      <c r="BE263" s="178"/>
      <c r="BF263" s="178"/>
      <c r="BG263" s="178"/>
      <c r="BH263" s="178"/>
      <c r="BI263" s="178"/>
      <c r="BJ263" s="178"/>
      <c r="BK263" s="178"/>
      <c r="BL263" s="178"/>
      <c r="BM263" s="178"/>
      <c r="BN263" s="178"/>
      <c r="BO263" s="178"/>
      <c r="BP263" s="178"/>
      <c r="BQ263" s="178"/>
      <c r="BR263" s="178"/>
      <c r="BS263" s="178"/>
      <c r="BT263" s="178"/>
      <c r="BU263" s="178"/>
    </row>
    <row r="264" spans="2:73" ht="15" customHeight="1" x14ac:dyDescent="0.25">
      <c r="B264" s="178"/>
      <c r="C264" s="179"/>
      <c r="D264" s="178"/>
      <c r="E264" s="178"/>
      <c r="F264" s="178"/>
      <c r="G264" s="178"/>
      <c r="H264" s="178"/>
      <c r="I264" s="178"/>
      <c r="J264" s="178"/>
      <c r="K264" s="178"/>
      <c r="L264" s="178"/>
      <c r="M264" s="178"/>
      <c r="N264" s="178"/>
      <c r="O264" s="178"/>
      <c r="P264" s="178"/>
      <c r="Q264" s="178"/>
      <c r="R264" s="178"/>
      <c r="S264" s="178"/>
      <c r="T264" s="178"/>
      <c r="U264" s="178"/>
      <c r="V264" s="178"/>
      <c r="W264" s="178"/>
      <c r="X264" s="178"/>
      <c r="Y264" s="178"/>
      <c r="Z264" s="178"/>
      <c r="AA264" s="178"/>
      <c r="AB264" s="178"/>
      <c r="AC264" s="178"/>
      <c r="AD264" s="178"/>
      <c r="AE264" s="178"/>
      <c r="AF264" s="178"/>
      <c r="AG264" s="178"/>
      <c r="AH264" s="178"/>
      <c r="AI264" s="178"/>
      <c r="AJ264" s="178"/>
      <c r="AK264" s="178"/>
      <c r="AL264" s="178"/>
      <c r="AM264" s="178"/>
      <c r="AN264" s="178"/>
      <c r="AO264" s="178"/>
      <c r="AP264" s="178"/>
      <c r="AQ264" s="178"/>
      <c r="AR264" s="178"/>
      <c r="AS264" s="178"/>
      <c r="AT264" s="178"/>
      <c r="AU264" s="178"/>
      <c r="AV264" s="178"/>
      <c r="AW264" s="178"/>
      <c r="AX264" s="178"/>
      <c r="AY264" s="178"/>
      <c r="AZ264" s="178"/>
      <c r="BA264" s="178"/>
      <c r="BB264" s="178"/>
      <c r="BC264" s="178"/>
      <c r="BD264" s="178"/>
      <c r="BE264" s="178"/>
      <c r="BF264" s="178"/>
      <c r="BG264" s="178"/>
      <c r="BH264" s="178"/>
      <c r="BI264" s="178"/>
      <c r="BJ264" s="178"/>
      <c r="BK264" s="178"/>
      <c r="BL264" s="178"/>
      <c r="BM264" s="178"/>
      <c r="BN264" s="178"/>
      <c r="BO264" s="178"/>
      <c r="BP264" s="178"/>
      <c r="BQ264" s="178"/>
      <c r="BR264" s="178"/>
      <c r="BS264" s="178"/>
      <c r="BT264" s="178"/>
      <c r="BU264" s="178"/>
    </row>
    <row r="265" spans="2:73" ht="15" customHeight="1" x14ac:dyDescent="0.25">
      <c r="B265" s="178"/>
      <c r="C265" s="179"/>
      <c r="D265" s="178"/>
      <c r="E265" s="178"/>
      <c r="F265" s="178"/>
      <c r="G265" s="178"/>
      <c r="H265" s="178"/>
      <c r="I265" s="178"/>
      <c r="J265" s="178"/>
      <c r="K265" s="178"/>
      <c r="L265" s="178"/>
      <c r="M265" s="178"/>
      <c r="N265" s="178"/>
      <c r="O265" s="178"/>
      <c r="P265" s="178"/>
      <c r="Q265" s="178"/>
      <c r="R265" s="178"/>
      <c r="S265" s="178"/>
      <c r="T265" s="178"/>
      <c r="U265" s="178"/>
      <c r="V265" s="178"/>
      <c r="W265" s="178"/>
      <c r="X265" s="178"/>
      <c r="Y265" s="178"/>
      <c r="Z265" s="178"/>
      <c r="AA265" s="178"/>
      <c r="AB265" s="178"/>
      <c r="AC265" s="178"/>
      <c r="AD265" s="178"/>
      <c r="AE265" s="178"/>
      <c r="AF265" s="178"/>
      <c r="AG265" s="178"/>
      <c r="AH265" s="178"/>
      <c r="AI265" s="178"/>
      <c r="AJ265" s="178"/>
      <c r="AK265" s="178"/>
      <c r="AL265" s="178"/>
      <c r="AM265" s="178"/>
      <c r="AN265" s="178"/>
      <c r="AO265" s="178"/>
      <c r="AP265" s="178"/>
      <c r="AQ265" s="178"/>
      <c r="AR265" s="178"/>
      <c r="AS265" s="178"/>
      <c r="AT265" s="178"/>
      <c r="AU265" s="178"/>
      <c r="AV265" s="178"/>
      <c r="AW265" s="178"/>
      <c r="AX265" s="178"/>
      <c r="AY265" s="178"/>
      <c r="AZ265" s="178"/>
      <c r="BA265" s="178"/>
      <c r="BB265" s="178"/>
      <c r="BC265" s="178"/>
      <c r="BD265" s="178"/>
      <c r="BE265" s="178"/>
      <c r="BF265" s="178"/>
      <c r="BG265" s="178"/>
      <c r="BH265" s="178"/>
      <c r="BI265" s="178"/>
      <c r="BJ265" s="178"/>
      <c r="BK265" s="178"/>
      <c r="BL265" s="178"/>
      <c r="BM265" s="178"/>
      <c r="BN265" s="178"/>
      <c r="BO265" s="178"/>
      <c r="BP265" s="178"/>
      <c r="BQ265" s="178"/>
      <c r="BR265" s="178"/>
      <c r="BS265" s="178"/>
      <c r="BT265" s="178"/>
      <c r="BU265" s="178"/>
    </row>
    <row r="266" spans="2:73" ht="15" customHeight="1" x14ac:dyDescent="0.25">
      <c r="B266" s="178"/>
      <c r="C266" s="179"/>
      <c r="D266" s="178"/>
      <c r="E266" s="178"/>
      <c r="F266" s="178"/>
      <c r="G266" s="178"/>
      <c r="H266" s="178"/>
      <c r="I266" s="178"/>
      <c r="J266" s="178"/>
      <c r="K266" s="178"/>
      <c r="L266" s="178"/>
      <c r="M266" s="178"/>
      <c r="N266" s="178"/>
      <c r="O266" s="178"/>
      <c r="P266" s="178"/>
      <c r="Q266" s="178"/>
      <c r="R266" s="178"/>
      <c r="S266" s="178"/>
      <c r="T266" s="178"/>
      <c r="U266" s="178"/>
      <c r="V266" s="178"/>
      <c r="W266" s="178"/>
      <c r="X266" s="178"/>
      <c r="Y266" s="178"/>
      <c r="Z266" s="178"/>
      <c r="AA266" s="178"/>
      <c r="AB266" s="178"/>
      <c r="AC266" s="178"/>
      <c r="AD266" s="178"/>
      <c r="AE266" s="178"/>
      <c r="AF266" s="178"/>
      <c r="AG266" s="178"/>
      <c r="AH266" s="178"/>
      <c r="AI266" s="178"/>
      <c r="AJ266" s="178"/>
      <c r="AK266" s="178"/>
      <c r="AL266" s="178"/>
      <c r="AM266" s="178"/>
      <c r="AN266" s="178"/>
      <c r="AO266" s="178"/>
      <c r="AP266" s="178"/>
      <c r="AQ266" s="178"/>
      <c r="AR266" s="178"/>
      <c r="AS266" s="178"/>
      <c r="AT266" s="178"/>
      <c r="AU266" s="178"/>
      <c r="AV266" s="178"/>
      <c r="AW266" s="178"/>
      <c r="AX266" s="178"/>
      <c r="AY266" s="178"/>
      <c r="AZ266" s="178"/>
      <c r="BA266" s="178"/>
      <c r="BB266" s="178"/>
      <c r="BC266" s="178"/>
      <c r="BD266" s="178"/>
      <c r="BE266" s="178"/>
      <c r="BF266" s="178"/>
      <c r="BG266" s="178"/>
      <c r="BH266" s="178"/>
      <c r="BI266" s="178"/>
      <c r="BJ266" s="178"/>
      <c r="BK266" s="178"/>
      <c r="BL266" s="178"/>
      <c r="BM266" s="178"/>
      <c r="BN266" s="178"/>
      <c r="BO266" s="178"/>
      <c r="BP266" s="178"/>
      <c r="BQ266" s="178"/>
      <c r="BR266" s="178"/>
      <c r="BS266" s="178"/>
      <c r="BT266" s="178"/>
      <c r="BU266" s="178"/>
    </row>
    <row r="267" spans="2:73" ht="15" customHeight="1" x14ac:dyDescent="0.25">
      <c r="B267" s="178"/>
      <c r="C267" s="179"/>
      <c r="D267" s="178"/>
      <c r="E267" s="178"/>
      <c r="F267" s="178"/>
      <c r="G267" s="178"/>
      <c r="H267" s="178"/>
      <c r="I267" s="178"/>
      <c r="J267" s="178"/>
      <c r="K267" s="178"/>
      <c r="L267" s="178"/>
      <c r="M267" s="178"/>
      <c r="N267" s="178"/>
      <c r="O267" s="178"/>
      <c r="P267" s="178"/>
      <c r="Q267" s="178"/>
      <c r="R267" s="178"/>
      <c r="S267" s="178"/>
      <c r="T267" s="178"/>
      <c r="U267" s="178"/>
      <c r="V267" s="178"/>
      <c r="W267" s="178"/>
      <c r="X267" s="178"/>
      <c r="Y267" s="178"/>
      <c r="Z267" s="178"/>
      <c r="AA267" s="178"/>
      <c r="AB267" s="178"/>
      <c r="AC267" s="178"/>
      <c r="AD267" s="178"/>
      <c r="AE267" s="178"/>
      <c r="AF267" s="178"/>
      <c r="AG267" s="178"/>
      <c r="AH267" s="178"/>
      <c r="AI267" s="178"/>
      <c r="AJ267" s="178"/>
      <c r="AK267" s="178"/>
      <c r="AL267" s="178"/>
      <c r="AM267" s="178"/>
      <c r="AN267" s="178"/>
      <c r="AO267" s="178"/>
      <c r="AP267" s="178"/>
      <c r="AQ267" s="178"/>
      <c r="AR267" s="178"/>
      <c r="AS267" s="178"/>
      <c r="AT267" s="178"/>
      <c r="AU267" s="178"/>
      <c r="AV267" s="178"/>
      <c r="AW267" s="178"/>
      <c r="AX267" s="178"/>
      <c r="AY267" s="178"/>
      <c r="AZ267" s="178"/>
      <c r="BA267" s="178"/>
      <c r="BB267" s="178"/>
      <c r="BC267" s="178"/>
      <c r="BD267" s="178"/>
      <c r="BE267" s="178"/>
      <c r="BF267" s="178"/>
      <c r="BG267" s="178"/>
      <c r="BH267" s="178"/>
      <c r="BI267" s="178"/>
      <c r="BJ267" s="178"/>
      <c r="BK267" s="178"/>
      <c r="BL267" s="178"/>
      <c r="BM267" s="178"/>
      <c r="BN267" s="178"/>
      <c r="BO267" s="178"/>
      <c r="BP267" s="178"/>
      <c r="BQ267" s="178"/>
      <c r="BR267" s="178"/>
      <c r="BS267" s="178"/>
      <c r="BT267" s="178"/>
      <c r="BU267" s="178"/>
    </row>
    <row r="268" spans="2:73" ht="15" customHeight="1" x14ac:dyDescent="0.25">
      <c r="B268" s="178"/>
      <c r="C268" s="179"/>
      <c r="D268" s="178"/>
      <c r="E268" s="178"/>
      <c r="F268" s="178"/>
      <c r="G268" s="178"/>
      <c r="H268" s="178"/>
      <c r="I268" s="178"/>
      <c r="J268" s="178"/>
      <c r="K268" s="178"/>
      <c r="L268" s="178"/>
      <c r="M268" s="178"/>
      <c r="N268" s="178"/>
      <c r="O268" s="178"/>
      <c r="P268" s="178"/>
      <c r="Q268" s="178"/>
      <c r="R268" s="178"/>
      <c r="S268" s="178"/>
      <c r="T268" s="178"/>
      <c r="U268" s="178"/>
      <c r="V268" s="178"/>
      <c r="W268" s="178"/>
      <c r="X268" s="178"/>
      <c r="Y268" s="178"/>
      <c r="Z268" s="178"/>
      <c r="AA268" s="178"/>
      <c r="AB268" s="178"/>
      <c r="AC268" s="178"/>
      <c r="AD268" s="178"/>
      <c r="AE268" s="178"/>
      <c r="AF268" s="178"/>
      <c r="AG268" s="178"/>
      <c r="AH268" s="178"/>
      <c r="AI268" s="178"/>
      <c r="AJ268" s="178"/>
      <c r="AK268" s="178"/>
      <c r="AL268" s="178"/>
      <c r="AM268" s="178"/>
      <c r="AN268" s="178"/>
      <c r="AO268" s="178"/>
      <c r="AP268" s="178"/>
      <c r="AQ268" s="178"/>
      <c r="AR268" s="178"/>
      <c r="AS268" s="178"/>
      <c r="AT268" s="178"/>
      <c r="AU268" s="178"/>
      <c r="AV268" s="178"/>
      <c r="AW268" s="178"/>
      <c r="AX268" s="178"/>
      <c r="AY268" s="178"/>
      <c r="AZ268" s="178"/>
      <c r="BA268" s="178"/>
      <c r="BB268" s="178"/>
      <c r="BC268" s="178"/>
      <c r="BD268" s="178"/>
      <c r="BE268" s="178"/>
      <c r="BF268" s="178"/>
      <c r="BG268" s="178"/>
      <c r="BH268" s="178"/>
      <c r="BI268" s="178"/>
      <c r="BJ268" s="178"/>
      <c r="BK268" s="178"/>
      <c r="BL268" s="178"/>
      <c r="BM268" s="178"/>
      <c r="BN268" s="178"/>
      <c r="BO268" s="178"/>
      <c r="BP268" s="178"/>
      <c r="BQ268" s="178"/>
      <c r="BR268" s="178"/>
      <c r="BS268" s="178"/>
      <c r="BT268" s="178"/>
      <c r="BU268" s="178"/>
    </row>
    <row r="269" spans="2:73" ht="15" customHeight="1" x14ac:dyDescent="0.25">
      <c r="B269" s="178"/>
      <c r="C269" s="179"/>
      <c r="D269" s="178"/>
      <c r="E269" s="178"/>
      <c r="F269" s="178"/>
      <c r="G269" s="178"/>
      <c r="H269" s="178"/>
      <c r="I269" s="178"/>
      <c r="J269" s="178"/>
      <c r="K269" s="178"/>
      <c r="L269" s="178"/>
      <c r="M269" s="178"/>
      <c r="N269" s="178"/>
      <c r="O269" s="178"/>
      <c r="P269" s="178"/>
      <c r="Q269" s="178"/>
      <c r="R269" s="178"/>
      <c r="S269" s="178"/>
      <c r="T269" s="178"/>
      <c r="U269" s="178"/>
      <c r="V269" s="178"/>
      <c r="W269" s="178"/>
      <c r="X269" s="178"/>
      <c r="Y269" s="178"/>
      <c r="Z269" s="178"/>
      <c r="AA269" s="178"/>
      <c r="AB269" s="178"/>
      <c r="AC269" s="178"/>
      <c r="AD269" s="178"/>
      <c r="AE269" s="178"/>
      <c r="AF269" s="178"/>
      <c r="AG269" s="178"/>
      <c r="AH269" s="178"/>
      <c r="AI269" s="178"/>
      <c r="AJ269" s="178"/>
      <c r="AK269" s="178"/>
      <c r="AL269" s="178"/>
      <c r="AM269" s="178"/>
      <c r="AN269" s="178"/>
      <c r="AO269" s="178"/>
      <c r="AP269" s="178"/>
      <c r="AQ269" s="178"/>
      <c r="AR269" s="178"/>
      <c r="AS269" s="178"/>
      <c r="AT269" s="178"/>
      <c r="AU269" s="178"/>
      <c r="AV269" s="178"/>
      <c r="AW269" s="178"/>
      <c r="AX269" s="178"/>
      <c r="AY269" s="178"/>
      <c r="AZ269" s="178"/>
      <c r="BA269" s="178"/>
      <c r="BB269" s="178"/>
      <c r="BC269" s="178"/>
      <c r="BD269" s="178"/>
      <c r="BE269" s="178"/>
      <c r="BF269" s="178"/>
      <c r="BG269" s="178"/>
      <c r="BH269" s="178"/>
      <c r="BI269" s="178"/>
      <c r="BJ269" s="178"/>
      <c r="BK269" s="178"/>
      <c r="BL269" s="178"/>
      <c r="BM269" s="178"/>
      <c r="BN269" s="178"/>
      <c r="BO269" s="178"/>
      <c r="BP269" s="178"/>
      <c r="BQ269" s="178"/>
      <c r="BR269" s="178"/>
      <c r="BS269" s="178"/>
      <c r="BT269" s="178"/>
      <c r="BU269" s="178"/>
    </row>
    <row r="270" spans="2:73" ht="15" customHeight="1" x14ac:dyDescent="0.25">
      <c r="B270" s="178"/>
      <c r="C270" s="179"/>
      <c r="D270" s="178"/>
      <c r="E270" s="178"/>
      <c r="F270" s="178"/>
      <c r="G270" s="178"/>
      <c r="H270" s="178"/>
      <c r="I270" s="178"/>
      <c r="J270" s="178"/>
      <c r="K270" s="178"/>
      <c r="L270" s="178"/>
      <c r="M270" s="178"/>
      <c r="N270" s="178"/>
      <c r="O270" s="178"/>
      <c r="P270" s="178"/>
      <c r="Q270" s="178"/>
      <c r="R270" s="178"/>
      <c r="S270" s="178"/>
      <c r="T270" s="178"/>
      <c r="U270" s="178"/>
      <c r="V270" s="178"/>
      <c r="W270" s="178"/>
      <c r="X270" s="178"/>
      <c r="Y270" s="178"/>
      <c r="Z270" s="178"/>
      <c r="AA270" s="178"/>
      <c r="AB270" s="178"/>
      <c r="AC270" s="178"/>
      <c r="AD270" s="178"/>
      <c r="AE270" s="178"/>
      <c r="AF270" s="178"/>
      <c r="AG270" s="178"/>
      <c r="AH270" s="178"/>
      <c r="AI270" s="178"/>
      <c r="AJ270" s="178"/>
      <c r="AK270" s="178"/>
      <c r="AL270" s="178"/>
      <c r="AM270" s="178"/>
      <c r="AN270" s="178"/>
      <c r="AO270" s="178"/>
      <c r="AP270" s="178"/>
      <c r="AQ270" s="178"/>
      <c r="AR270" s="178"/>
      <c r="AS270" s="178"/>
      <c r="AT270" s="178"/>
      <c r="AU270" s="178"/>
      <c r="AV270" s="178"/>
      <c r="AW270" s="178"/>
      <c r="AX270" s="178"/>
      <c r="AY270" s="178"/>
      <c r="AZ270" s="178"/>
      <c r="BA270" s="178"/>
      <c r="BB270" s="178"/>
      <c r="BC270" s="178"/>
      <c r="BD270" s="178"/>
      <c r="BE270" s="178"/>
      <c r="BF270" s="178"/>
      <c r="BG270" s="178"/>
      <c r="BH270" s="178"/>
      <c r="BI270" s="178"/>
      <c r="BJ270" s="178"/>
      <c r="BK270" s="178"/>
      <c r="BL270" s="178"/>
      <c r="BM270" s="178"/>
      <c r="BN270" s="178"/>
      <c r="BO270" s="178"/>
      <c r="BP270" s="178"/>
      <c r="BQ270" s="178"/>
      <c r="BR270" s="178"/>
      <c r="BS270" s="178"/>
      <c r="BT270" s="178"/>
      <c r="BU270" s="178"/>
    </row>
    <row r="271" spans="2:73" ht="15" customHeight="1" x14ac:dyDescent="0.25">
      <c r="B271" s="178"/>
      <c r="C271" s="179"/>
      <c r="D271" s="178"/>
      <c r="E271" s="178"/>
      <c r="F271" s="178"/>
      <c r="G271" s="178"/>
      <c r="H271" s="178"/>
      <c r="I271" s="178"/>
      <c r="J271" s="178"/>
      <c r="K271" s="178"/>
      <c r="L271" s="178"/>
      <c r="M271" s="178"/>
      <c r="N271" s="178"/>
      <c r="O271" s="178"/>
      <c r="P271" s="178"/>
      <c r="Q271" s="178"/>
      <c r="R271" s="178"/>
      <c r="S271" s="178"/>
      <c r="T271" s="178"/>
      <c r="U271" s="178"/>
      <c r="V271" s="178"/>
      <c r="W271" s="178"/>
      <c r="X271" s="178"/>
      <c r="Y271" s="178"/>
      <c r="Z271" s="178"/>
      <c r="AA271" s="178"/>
      <c r="AB271" s="178"/>
      <c r="AC271" s="178"/>
      <c r="AD271" s="178"/>
      <c r="AE271" s="178"/>
      <c r="AF271" s="178"/>
      <c r="AG271" s="178"/>
      <c r="AH271" s="178"/>
      <c r="AI271" s="178"/>
      <c r="AJ271" s="178"/>
      <c r="AK271" s="178"/>
      <c r="AL271" s="178"/>
      <c r="AM271" s="178"/>
      <c r="AN271" s="178"/>
      <c r="AO271" s="178"/>
      <c r="AP271" s="178"/>
      <c r="AQ271" s="178"/>
      <c r="AR271" s="178"/>
      <c r="AS271" s="178"/>
      <c r="AT271" s="178"/>
      <c r="AU271" s="178"/>
      <c r="AV271" s="178"/>
      <c r="AW271" s="178"/>
      <c r="AX271" s="178"/>
      <c r="AY271" s="178"/>
      <c r="AZ271" s="178"/>
      <c r="BA271" s="178"/>
      <c r="BB271" s="178"/>
      <c r="BC271" s="178"/>
      <c r="BD271" s="178"/>
      <c r="BE271" s="178"/>
      <c r="BF271" s="178"/>
      <c r="BG271" s="178"/>
      <c r="BH271" s="178"/>
      <c r="BI271" s="178"/>
      <c r="BJ271" s="178"/>
      <c r="BK271" s="178"/>
      <c r="BL271" s="178"/>
      <c r="BM271" s="178"/>
      <c r="BN271" s="178"/>
      <c r="BO271" s="178"/>
      <c r="BP271" s="178"/>
      <c r="BQ271" s="178"/>
      <c r="BR271" s="178"/>
      <c r="BS271" s="178"/>
      <c r="BT271" s="178"/>
      <c r="BU271" s="178"/>
    </row>
    <row r="272" spans="2:73" ht="15" customHeight="1" x14ac:dyDescent="0.25">
      <c r="B272" s="178"/>
      <c r="C272" s="179"/>
      <c r="D272" s="178"/>
      <c r="E272" s="178"/>
      <c r="F272" s="178"/>
      <c r="G272" s="178"/>
      <c r="H272" s="178"/>
      <c r="I272" s="178"/>
      <c r="J272" s="178"/>
      <c r="K272" s="178"/>
      <c r="L272" s="178"/>
      <c r="M272" s="178"/>
      <c r="N272" s="178"/>
      <c r="O272" s="178"/>
      <c r="P272" s="178"/>
      <c r="Q272" s="178"/>
      <c r="R272" s="178"/>
      <c r="S272" s="178"/>
      <c r="T272" s="178"/>
      <c r="U272" s="178"/>
      <c r="V272" s="178"/>
      <c r="W272" s="178"/>
      <c r="X272" s="178"/>
      <c r="Y272" s="178"/>
      <c r="Z272" s="178"/>
      <c r="AA272" s="178"/>
      <c r="AB272" s="178"/>
      <c r="AC272" s="178"/>
      <c r="AD272" s="178"/>
      <c r="AE272" s="178"/>
      <c r="AF272" s="178"/>
      <c r="AG272" s="178"/>
      <c r="AH272" s="178"/>
      <c r="AI272" s="178"/>
      <c r="AJ272" s="178"/>
      <c r="AK272" s="178"/>
      <c r="AL272" s="178"/>
      <c r="AM272" s="178"/>
      <c r="AN272" s="178"/>
      <c r="AO272" s="178"/>
      <c r="AP272" s="178"/>
      <c r="AQ272" s="178"/>
      <c r="AR272" s="178"/>
      <c r="AS272" s="178"/>
      <c r="AT272" s="178"/>
      <c r="AU272" s="178"/>
      <c r="AV272" s="178"/>
      <c r="AW272" s="178"/>
      <c r="AX272" s="178"/>
      <c r="AY272" s="178"/>
      <c r="AZ272" s="178"/>
      <c r="BA272" s="178"/>
      <c r="BB272" s="178"/>
      <c r="BC272" s="178"/>
      <c r="BD272" s="178"/>
      <c r="BE272" s="178"/>
      <c r="BF272" s="178"/>
      <c r="BG272" s="178"/>
      <c r="BH272" s="178"/>
      <c r="BI272" s="178"/>
      <c r="BJ272" s="178"/>
      <c r="BK272" s="178"/>
      <c r="BL272" s="178"/>
      <c r="BM272" s="178"/>
      <c r="BN272" s="178"/>
      <c r="BO272" s="178"/>
      <c r="BP272" s="178"/>
      <c r="BQ272" s="178"/>
      <c r="BR272" s="178"/>
      <c r="BS272" s="178"/>
      <c r="BT272" s="178"/>
      <c r="BU272" s="178"/>
    </row>
    <row r="273" spans="2:73" ht="15" customHeight="1" x14ac:dyDescent="0.25">
      <c r="B273" s="178"/>
      <c r="C273" s="179"/>
      <c r="D273" s="178"/>
      <c r="E273" s="178"/>
      <c r="F273" s="178"/>
      <c r="G273" s="178"/>
      <c r="H273" s="178"/>
      <c r="I273" s="178"/>
      <c r="J273" s="178"/>
      <c r="K273" s="178"/>
      <c r="L273" s="178"/>
      <c r="M273" s="178"/>
      <c r="N273" s="178"/>
      <c r="O273" s="178"/>
      <c r="P273" s="178"/>
      <c r="Q273" s="178"/>
      <c r="R273" s="178"/>
      <c r="S273" s="178"/>
      <c r="T273" s="178"/>
      <c r="U273" s="178"/>
      <c r="V273" s="178"/>
      <c r="W273" s="178"/>
      <c r="X273" s="178"/>
      <c r="Y273" s="178"/>
      <c r="Z273" s="178"/>
      <c r="AA273" s="178"/>
      <c r="AB273" s="178"/>
      <c r="AC273" s="178"/>
      <c r="AD273" s="178"/>
      <c r="AE273" s="178"/>
      <c r="AF273" s="178"/>
      <c r="AG273" s="178"/>
      <c r="AH273" s="178"/>
      <c r="AI273" s="178"/>
      <c r="AJ273" s="178"/>
      <c r="AK273" s="178"/>
      <c r="AL273" s="178"/>
      <c r="AM273" s="178"/>
      <c r="AN273" s="178"/>
      <c r="AO273" s="178"/>
      <c r="AP273" s="178"/>
      <c r="AQ273" s="178"/>
      <c r="AR273" s="178"/>
      <c r="AS273" s="178"/>
      <c r="AT273" s="178"/>
      <c r="AU273" s="178"/>
      <c r="AV273" s="178"/>
      <c r="AW273" s="178"/>
      <c r="AX273" s="178"/>
      <c r="AY273" s="178"/>
      <c r="AZ273" s="178"/>
      <c r="BA273" s="178"/>
      <c r="BB273" s="178"/>
      <c r="BC273" s="178"/>
      <c r="BD273" s="178"/>
      <c r="BE273" s="178"/>
      <c r="BF273" s="178"/>
      <c r="BG273" s="178"/>
      <c r="BH273" s="178"/>
      <c r="BI273" s="178"/>
      <c r="BJ273" s="178"/>
      <c r="BK273" s="178"/>
      <c r="BL273" s="178"/>
      <c r="BM273" s="178"/>
      <c r="BN273" s="178"/>
      <c r="BO273" s="178"/>
      <c r="BP273" s="178"/>
      <c r="BQ273" s="178"/>
      <c r="BR273" s="178"/>
      <c r="BS273" s="178"/>
      <c r="BT273" s="178"/>
      <c r="BU273" s="178"/>
    </row>
    <row r="274" spans="2:73" ht="15" customHeight="1" x14ac:dyDescent="0.25">
      <c r="B274" s="178"/>
      <c r="C274" s="179"/>
      <c r="D274" s="178"/>
      <c r="E274" s="178"/>
      <c r="F274" s="178"/>
      <c r="G274" s="178"/>
      <c r="H274" s="178"/>
      <c r="I274" s="178"/>
      <c r="J274" s="178"/>
      <c r="K274" s="178"/>
      <c r="L274" s="178"/>
      <c r="M274" s="178"/>
      <c r="N274" s="178"/>
      <c r="O274" s="178"/>
      <c r="P274" s="178"/>
      <c r="Q274" s="178"/>
      <c r="R274" s="178"/>
      <c r="S274" s="178"/>
      <c r="T274" s="178"/>
      <c r="U274" s="178"/>
      <c r="V274" s="178"/>
      <c r="W274" s="178"/>
      <c r="X274" s="178"/>
      <c r="Y274" s="178"/>
      <c r="Z274" s="178"/>
      <c r="AA274" s="178"/>
      <c r="AB274" s="178"/>
      <c r="AC274" s="178"/>
      <c r="AD274" s="178"/>
      <c r="AE274" s="178"/>
      <c r="AF274" s="178"/>
      <c r="AG274" s="178"/>
      <c r="AH274" s="178"/>
      <c r="AI274" s="178"/>
      <c r="AJ274" s="178"/>
      <c r="AK274" s="178"/>
      <c r="AL274" s="178"/>
      <c r="AM274" s="178"/>
      <c r="AN274" s="178"/>
      <c r="AO274" s="178"/>
      <c r="AP274" s="178"/>
      <c r="AQ274" s="178"/>
      <c r="AR274" s="178"/>
      <c r="AS274" s="178"/>
      <c r="AT274" s="178"/>
      <c r="AU274" s="178"/>
      <c r="AV274" s="178"/>
      <c r="AW274" s="178"/>
      <c r="AX274" s="178"/>
      <c r="AY274" s="178"/>
      <c r="AZ274" s="178"/>
      <c r="BA274" s="178"/>
      <c r="BB274" s="178"/>
      <c r="BC274" s="178"/>
      <c r="BD274" s="178"/>
      <c r="BE274" s="178"/>
      <c r="BF274" s="178"/>
      <c r="BG274" s="178"/>
      <c r="BH274" s="178"/>
      <c r="BI274" s="178"/>
      <c r="BJ274" s="178"/>
      <c r="BK274" s="178"/>
      <c r="BL274" s="178"/>
      <c r="BM274" s="178"/>
      <c r="BN274" s="178"/>
      <c r="BO274" s="178"/>
      <c r="BP274" s="178"/>
      <c r="BQ274" s="178"/>
      <c r="BR274" s="178"/>
      <c r="BS274" s="178"/>
      <c r="BT274" s="178"/>
      <c r="BU274" s="178"/>
    </row>
    <row r="275" spans="2:73" ht="15" customHeight="1" x14ac:dyDescent="0.25">
      <c r="B275" s="178"/>
      <c r="C275" s="179"/>
      <c r="D275" s="178"/>
      <c r="E275" s="178"/>
      <c r="F275" s="178"/>
      <c r="G275" s="178"/>
      <c r="H275" s="178"/>
      <c r="I275" s="178"/>
      <c r="J275" s="178"/>
      <c r="K275" s="178"/>
      <c r="L275" s="178"/>
      <c r="M275" s="178"/>
      <c r="N275" s="178"/>
      <c r="O275" s="178"/>
      <c r="P275" s="178"/>
      <c r="Q275" s="178"/>
      <c r="R275" s="178"/>
      <c r="S275" s="178"/>
      <c r="T275" s="178"/>
      <c r="U275" s="178"/>
      <c r="V275" s="178"/>
      <c r="W275" s="178"/>
      <c r="X275" s="178"/>
      <c r="Y275" s="178"/>
      <c r="Z275" s="178"/>
      <c r="AA275" s="178"/>
      <c r="AB275" s="178"/>
      <c r="AC275" s="178"/>
      <c r="AD275" s="178"/>
      <c r="AE275" s="178"/>
      <c r="AF275" s="178"/>
      <c r="AG275" s="178"/>
      <c r="AH275" s="178"/>
      <c r="AI275" s="178"/>
      <c r="AJ275" s="178"/>
      <c r="AK275" s="178"/>
      <c r="AL275" s="178"/>
      <c r="AM275" s="178"/>
      <c r="AN275" s="178"/>
      <c r="AO275" s="178"/>
      <c r="AP275" s="178"/>
      <c r="AQ275" s="178"/>
      <c r="AR275" s="178"/>
      <c r="AS275" s="178"/>
      <c r="AT275" s="178"/>
      <c r="AU275" s="178"/>
      <c r="AV275" s="178"/>
      <c r="AW275" s="178"/>
      <c r="AX275" s="178"/>
      <c r="AY275" s="178"/>
      <c r="AZ275" s="178"/>
      <c r="BA275" s="178"/>
      <c r="BB275" s="178"/>
      <c r="BC275" s="178"/>
      <c r="BD275" s="178"/>
      <c r="BE275" s="178"/>
      <c r="BF275" s="178"/>
      <c r="BG275" s="178"/>
      <c r="BH275" s="178"/>
      <c r="BI275" s="178"/>
      <c r="BJ275" s="178"/>
      <c r="BK275" s="178"/>
      <c r="BL275" s="178"/>
      <c r="BM275" s="178"/>
      <c r="BN275" s="178"/>
      <c r="BO275" s="178"/>
      <c r="BP275" s="178"/>
      <c r="BQ275" s="178"/>
      <c r="BR275" s="178"/>
      <c r="BS275" s="178"/>
      <c r="BT275" s="178"/>
      <c r="BU275" s="178"/>
    </row>
    <row r="276" spans="2:73" ht="15" customHeight="1" x14ac:dyDescent="0.25">
      <c r="B276" s="178"/>
      <c r="C276" s="179"/>
      <c r="D276" s="178"/>
      <c r="E276" s="178"/>
      <c r="F276" s="178"/>
      <c r="G276" s="178"/>
      <c r="H276" s="178"/>
      <c r="I276" s="178"/>
      <c r="J276" s="178"/>
      <c r="K276" s="178"/>
      <c r="L276" s="178"/>
      <c r="M276" s="178"/>
      <c r="N276" s="178"/>
      <c r="O276" s="178"/>
      <c r="P276" s="178"/>
      <c r="Q276" s="178"/>
      <c r="R276" s="178"/>
      <c r="S276" s="178"/>
      <c r="T276" s="178"/>
      <c r="U276" s="178"/>
      <c r="V276" s="178"/>
      <c r="W276" s="178"/>
      <c r="X276" s="178"/>
      <c r="Y276" s="178"/>
      <c r="Z276" s="178"/>
      <c r="AA276" s="178"/>
      <c r="AB276" s="178"/>
      <c r="AC276" s="178"/>
      <c r="AD276" s="178"/>
      <c r="AE276" s="178"/>
      <c r="AF276" s="178"/>
      <c r="AG276" s="178"/>
      <c r="AH276" s="178"/>
      <c r="AI276" s="178"/>
      <c r="AJ276" s="178"/>
      <c r="AK276" s="178"/>
      <c r="AL276" s="178"/>
      <c r="AM276" s="178"/>
      <c r="AN276" s="178"/>
      <c r="AO276" s="178"/>
      <c r="AP276" s="178"/>
      <c r="AQ276" s="178"/>
      <c r="AR276" s="178"/>
      <c r="AS276" s="178"/>
      <c r="AT276" s="178"/>
      <c r="AU276" s="178"/>
      <c r="AV276" s="178"/>
      <c r="AW276" s="178"/>
      <c r="AX276" s="178"/>
      <c r="AY276" s="178"/>
      <c r="AZ276" s="178"/>
      <c r="BA276" s="178"/>
      <c r="BB276" s="178"/>
      <c r="BC276" s="178"/>
      <c r="BD276" s="178"/>
      <c r="BE276" s="178"/>
      <c r="BF276" s="178"/>
      <c r="BG276" s="178"/>
      <c r="BH276" s="178"/>
      <c r="BI276" s="178"/>
      <c r="BJ276" s="178"/>
      <c r="BK276" s="178"/>
      <c r="BL276" s="178"/>
      <c r="BM276" s="178"/>
      <c r="BN276" s="178"/>
      <c r="BO276" s="178"/>
      <c r="BP276" s="178"/>
      <c r="BQ276" s="178"/>
      <c r="BR276" s="178"/>
      <c r="BS276" s="178"/>
      <c r="BT276" s="178"/>
      <c r="BU276" s="178"/>
    </row>
    <row r="277" spans="2:73" ht="15" customHeight="1" x14ac:dyDescent="0.25">
      <c r="B277" s="178"/>
      <c r="C277" s="179"/>
      <c r="D277" s="178"/>
      <c r="E277" s="178"/>
      <c r="F277" s="178"/>
      <c r="G277" s="178"/>
      <c r="H277" s="178"/>
      <c r="I277" s="178"/>
      <c r="J277" s="178"/>
      <c r="K277" s="178"/>
      <c r="L277" s="178"/>
      <c r="M277" s="178"/>
      <c r="N277" s="178"/>
      <c r="O277" s="178"/>
      <c r="P277" s="178"/>
      <c r="Q277" s="178"/>
      <c r="R277" s="178"/>
      <c r="S277" s="178"/>
      <c r="T277" s="178"/>
      <c r="U277" s="178"/>
      <c r="V277" s="178"/>
      <c r="W277" s="178"/>
      <c r="X277" s="178"/>
      <c r="Y277" s="178"/>
      <c r="Z277" s="178"/>
      <c r="AA277" s="178"/>
      <c r="AB277" s="178"/>
      <c r="AC277" s="178"/>
      <c r="AD277" s="178"/>
      <c r="AE277" s="178"/>
      <c r="AF277" s="178"/>
      <c r="AG277" s="178"/>
      <c r="AH277" s="178"/>
      <c r="AI277" s="178"/>
      <c r="AJ277" s="178"/>
      <c r="AK277" s="178"/>
      <c r="AL277" s="178"/>
      <c r="AM277" s="178"/>
      <c r="AN277" s="178"/>
      <c r="AO277" s="178"/>
      <c r="AP277" s="178"/>
      <c r="AQ277" s="178"/>
      <c r="AR277" s="178"/>
      <c r="AS277" s="178"/>
      <c r="AT277" s="178"/>
      <c r="AU277" s="178"/>
      <c r="AV277" s="178"/>
      <c r="AW277" s="178"/>
      <c r="AX277" s="178"/>
      <c r="AY277" s="178"/>
      <c r="AZ277" s="178"/>
      <c r="BA277" s="178"/>
      <c r="BB277" s="178"/>
      <c r="BC277" s="178"/>
      <c r="BD277" s="178"/>
      <c r="BE277" s="178"/>
      <c r="BF277" s="178"/>
      <c r="BG277" s="178"/>
      <c r="BH277" s="178"/>
      <c r="BI277" s="178"/>
      <c r="BJ277" s="178"/>
      <c r="BK277" s="178"/>
      <c r="BL277" s="178"/>
      <c r="BM277" s="178"/>
      <c r="BN277" s="178"/>
      <c r="BO277" s="178"/>
      <c r="BP277" s="178"/>
      <c r="BQ277" s="178"/>
      <c r="BR277" s="178"/>
      <c r="BS277" s="178"/>
      <c r="BT277" s="178"/>
      <c r="BU277" s="178"/>
    </row>
    <row r="278" spans="2:73" ht="15" customHeight="1" x14ac:dyDescent="0.25">
      <c r="B278" s="178"/>
      <c r="C278" s="179"/>
      <c r="D278" s="178"/>
      <c r="E278" s="178"/>
      <c r="F278" s="178"/>
      <c r="G278" s="178"/>
      <c r="H278" s="178"/>
      <c r="I278" s="178"/>
      <c r="J278" s="178"/>
      <c r="K278" s="178"/>
      <c r="L278" s="178"/>
      <c r="M278" s="178"/>
      <c r="N278" s="178"/>
      <c r="O278" s="178"/>
      <c r="P278" s="178"/>
      <c r="Q278" s="178"/>
      <c r="R278" s="178"/>
      <c r="S278" s="178"/>
      <c r="T278" s="178"/>
      <c r="U278" s="178"/>
      <c r="V278" s="178"/>
      <c r="W278" s="178"/>
      <c r="X278" s="178"/>
      <c r="Y278" s="178"/>
      <c r="Z278" s="178"/>
      <c r="AA278" s="178"/>
      <c r="AB278" s="178"/>
      <c r="AC278" s="178"/>
      <c r="AD278" s="178"/>
      <c r="AE278" s="178"/>
      <c r="AF278" s="178"/>
      <c r="AG278" s="178"/>
      <c r="AH278" s="178"/>
      <c r="AI278" s="178"/>
      <c r="AJ278" s="178"/>
      <c r="AK278" s="178"/>
      <c r="AL278" s="178"/>
      <c r="AM278" s="178"/>
      <c r="AN278" s="178"/>
      <c r="AO278" s="178"/>
      <c r="AP278" s="178"/>
      <c r="AQ278" s="178"/>
      <c r="AR278" s="178"/>
      <c r="AS278" s="178"/>
      <c r="AT278" s="178"/>
      <c r="AU278" s="178"/>
      <c r="AV278" s="178"/>
      <c r="AW278" s="178"/>
      <c r="AX278" s="178"/>
      <c r="AY278" s="178"/>
      <c r="AZ278" s="178"/>
      <c r="BA278" s="178"/>
      <c r="BB278" s="178"/>
      <c r="BC278" s="178"/>
      <c r="BD278" s="178"/>
      <c r="BE278" s="178"/>
      <c r="BF278" s="178"/>
      <c r="BG278" s="178"/>
      <c r="BH278" s="178"/>
      <c r="BI278" s="178"/>
      <c r="BJ278" s="178"/>
      <c r="BK278" s="178"/>
      <c r="BL278" s="178"/>
      <c r="BM278" s="178"/>
      <c r="BN278" s="178"/>
      <c r="BO278" s="178"/>
      <c r="BP278" s="178"/>
      <c r="BQ278" s="178"/>
      <c r="BR278" s="178"/>
      <c r="BS278" s="178"/>
      <c r="BT278" s="178"/>
      <c r="BU278" s="178"/>
    </row>
    <row r="279" spans="2:73" ht="15" customHeight="1" x14ac:dyDescent="0.25">
      <c r="B279" s="178"/>
      <c r="C279" s="179"/>
      <c r="D279" s="178"/>
      <c r="E279" s="178"/>
      <c r="F279" s="178"/>
      <c r="G279" s="178"/>
      <c r="H279" s="178"/>
      <c r="I279" s="178"/>
      <c r="J279" s="178"/>
      <c r="K279" s="178"/>
      <c r="L279" s="178"/>
      <c r="M279" s="178"/>
      <c r="N279" s="178"/>
      <c r="O279" s="178"/>
      <c r="P279" s="178"/>
      <c r="Q279" s="178"/>
      <c r="R279" s="178"/>
      <c r="S279" s="178"/>
      <c r="T279" s="178"/>
      <c r="U279" s="178"/>
      <c r="V279" s="178"/>
      <c r="W279" s="178"/>
      <c r="X279" s="178"/>
      <c r="Y279" s="178"/>
      <c r="Z279" s="178"/>
      <c r="AA279" s="178"/>
      <c r="AB279" s="178"/>
      <c r="AC279" s="178"/>
      <c r="AD279" s="178"/>
      <c r="AE279" s="178"/>
      <c r="AF279" s="178"/>
      <c r="AG279" s="178"/>
      <c r="AH279" s="178"/>
      <c r="AI279" s="178"/>
      <c r="AJ279" s="178"/>
      <c r="AK279" s="178"/>
      <c r="AL279" s="178"/>
      <c r="AM279" s="178"/>
      <c r="AN279" s="178"/>
      <c r="AO279" s="178"/>
      <c r="AP279" s="178"/>
      <c r="AQ279" s="178"/>
      <c r="AR279" s="178"/>
      <c r="AS279" s="178"/>
      <c r="AT279" s="178"/>
      <c r="AU279" s="178"/>
      <c r="AV279" s="178"/>
      <c r="AW279" s="178"/>
      <c r="AX279" s="178"/>
      <c r="AY279" s="178"/>
      <c r="AZ279" s="178"/>
      <c r="BA279" s="178"/>
      <c r="BB279" s="178"/>
      <c r="BC279" s="178"/>
      <c r="BD279" s="178"/>
      <c r="BE279" s="178"/>
      <c r="BF279" s="178"/>
      <c r="BG279" s="178"/>
      <c r="BH279" s="178"/>
      <c r="BI279" s="178"/>
      <c r="BJ279" s="178"/>
      <c r="BK279" s="178"/>
      <c r="BL279" s="178"/>
      <c r="BM279" s="178"/>
      <c r="BN279" s="178"/>
      <c r="BO279" s="178"/>
      <c r="BP279" s="178"/>
      <c r="BQ279" s="178"/>
      <c r="BR279" s="178"/>
      <c r="BS279" s="178"/>
      <c r="BT279" s="178"/>
      <c r="BU279" s="178"/>
    </row>
    <row r="280" spans="2:73" ht="15" customHeight="1" x14ac:dyDescent="0.25">
      <c r="B280" s="178"/>
      <c r="C280" s="179"/>
      <c r="D280" s="178"/>
      <c r="E280" s="178"/>
      <c r="F280" s="178"/>
      <c r="G280" s="178"/>
      <c r="H280" s="178"/>
      <c r="I280" s="178"/>
      <c r="J280" s="178"/>
      <c r="K280" s="178"/>
      <c r="L280" s="178"/>
      <c r="M280" s="178"/>
      <c r="N280" s="178"/>
      <c r="O280" s="178"/>
      <c r="P280" s="178"/>
      <c r="Q280" s="178"/>
      <c r="R280" s="178"/>
      <c r="S280" s="178"/>
      <c r="T280" s="178"/>
      <c r="U280" s="178"/>
      <c r="V280" s="178"/>
      <c r="W280" s="178"/>
      <c r="X280" s="178"/>
      <c r="Y280" s="178"/>
      <c r="Z280" s="178"/>
      <c r="AA280" s="178"/>
      <c r="AB280" s="178"/>
      <c r="AC280" s="178"/>
      <c r="AD280" s="178"/>
      <c r="AE280" s="178"/>
      <c r="AF280" s="178"/>
      <c r="AG280" s="178"/>
      <c r="AH280" s="178"/>
      <c r="AI280" s="178"/>
      <c r="AJ280" s="178"/>
      <c r="AK280" s="178"/>
      <c r="AL280" s="178"/>
      <c r="AM280" s="178"/>
      <c r="AN280" s="178"/>
      <c r="AO280" s="178"/>
      <c r="AP280" s="178"/>
      <c r="AQ280" s="178"/>
      <c r="AR280" s="178"/>
      <c r="AS280" s="178"/>
      <c r="AT280" s="178"/>
      <c r="AU280" s="178"/>
      <c r="AV280" s="178"/>
      <c r="AW280" s="178"/>
      <c r="AX280" s="178"/>
      <c r="AY280" s="178"/>
      <c r="AZ280" s="178"/>
      <c r="BA280" s="178"/>
      <c r="BB280" s="178"/>
      <c r="BC280" s="178"/>
      <c r="BD280" s="178"/>
      <c r="BE280" s="178"/>
      <c r="BF280" s="178"/>
      <c r="BG280" s="178"/>
      <c r="BH280" s="178"/>
      <c r="BI280" s="178"/>
      <c r="BJ280" s="178"/>
      <c r="BK280" s="178"/>
      <c r="BL280" s="178"/>
      <c r="BM280" s="178"/>
      <c r="BN280" s="178"/>
      <c r="BO280" s="178"/>
      <c r="BP280" s="178"/>
      <c r="BQ280" s="178"/>
      <c r="BR280" s="178"/>
      <c r="BS280" s="178"/>
      <c r="BT280" s="178"/>
      <c r="BU280" s="178"/>
    </row>
    <row r="281" spans="2:73" ht="15" customHeight="1" x14ac:dyDescent="0.25">
      <c r="B281" s="178"/>
      <c r="C281" s="179"/>
      <c r="D281" s="178"/>
      <c r="E281" s="178"/>
      <c r="F281" s="178"/>
      <c r="G281" s="178"/>
      <c r="H281" s="178"/>
      <c r="I281" s="178"/>
      <c r="J281" s="178"/>
      <c r="K281" s="178"/>
      <c r="L281" s="178"/>
      <c r="M281" s="178"/>
      <c r="N281" s="178"/>
      <c r="O281" s="178"/>
      <c r="P281" s="178"/>
      <c r="Q281" s="178"/>
      <c r="R281" s="178"/>
      <c r="S281" s="178"/>
      <c r="T281" s="178"/>
      <c r="U281" s="178"/>
      <c r="V281" s="178"/>
      <c r="W281" s="178"/>
      <c r="X281" s="178"/>
      <c r="Y281" s="178"/>
      <c r="Z281" s="178"/>
      <c r="AA281" s="178"/>
      <c r="AB281" s="178"/>
      <c r="AC281" s="178"/>
      <c r="AD281" s="178"/>
      <c r="AE281" s="178"/>
      <c r="AF281" s="178"/>
      <c r="AG281" s="178"/>
      <c r="AH281" s="178"/>
      <c r="AI281" s="178"/>
      <c r="AJ281" s="178"/>
      <c r="AK281" s="178"/>
      <c r="AL281" s="178"/>
      <c r="AM281" s="178"/>
      <c r="AN281" s="178"/>
      <c r="AO281" s="178"/>
      <c r="AP281" s="178"/>
      <c r="AQ281" s="178"/>
      <c r="AR281" s="178"/>
      <c r="AS281" s="178"/>
      <c r="AT281" s="178"/>
      <c r="AU281" s="178"/>
      <c r="AV281" s="178"/>
      <c r="AW281" s="178"/>
      <c r="AX281" s="178"/>
      <c r="AY281" s="178"/>
      <c r="AZ281" s="178"/>
      <c r="BA281" s="178"/>
      <c r="BB281" s="178"/>
      <c r="BC281" s="178"/>
      <c r="BD281" s="178"/>
      <c r="BE281" s="178"/>
      <c r="BF281" s="178"/>
      <c r="BG281" s="178"/>
      <c r="BH281" s="178"/>
      <c r="BI281" s="178"/>
      <c r="BJ281" s="178"/>
      <c r="BK281" s="178"/>
      <c r="BL281" s="178"/>
      <c r="BM281" s="178"/>
      <c r="BN281" s="178"/>
      <c r="BO281" s="178"/>
      <c r="BP281" s="178"/>
      <c r="BQ281" s="178"/>
      <c r="BR281" s="178"/>
      <c r="BS281" s="178"/>
      <c r="BT281" s="178"/>
      <c r="BU281" s="178"/>
    </row>
    <row r="282" spans="2:73" ht="15" customHeight="1" x14ac:dyDescent="0.25">
      <c r="B282" s="178"/>
      <c r="C282" s="179"/>
      <c r="D282" s="178"/>
      <c r="E282" s="178"/>
      <c r="F282" s="178"/>
      <c r="G282" s="178"/>
      <c r="H282" s="178"/>
      <c r="I282" s="178"/>
      <c r="J282" s="178"/>
      <c r="K282" s="178"/>
      <c r="L282" s="178"/>
      <c r="M282" s="178"/>
      <c r="N282" s="178"/>
      <c r="O282" s="178"/>
      <c r="P282" s="178"/>
      <c r="Q282" s="178"/>
      <c r="R282" s="178"/>
      <c r="S282" s="178"/>
      <c r="T282" s="178"/>
      <c r="U282" s="178"/>
      <c r="V282" s="178"/>
      <c r="W282" s="178"/>
      <c r="X282" s="178"/>
      <c r="Y282" s="178"/>
      <c r="Z282" s="178"/>
      <c r="AA282" s="178"/>
      <c r="AB282" s="178"/>
      <c r="AC282" s="178"/>
      <c r="AD282" s="178"/>
      <c r="AE282" s="178"/>
      <c r="AF282" s="178"/>
      <c r="AG282" s="178"/>
      <c r="AH282" s="178"/>
      <c r="AI282" s="178"/>
      <c r="AJ282" s="178"/>
      <c r="AK282" s="178"/>
      <c r="AL282" s="178"/>
      <c r="AM282" s="178"/>
      <c r="AN282" s="178"/>
      <c r="AO282" s="178"/>
      <c r="AP282" s="178"/>
      <c r="AQ282" s="178"/>
      <c r="AR282" s="178"/>
      <c r="AS282" s="178"/>
      <c r="AT282" s="178"/>
      <c r="AU282" s="178"/>
      <c r="AV282" s="178"/>
      <c r="AW282" s="178"/>
      <c r="AX282" s="178"/>
      <c r="AY282" s="178"/>
      <c r="AZ282" s="178"/>
      <c r="BA282" s="178"/>
      <c r="BB282" s="178"/>
      <c r="BC282" s="178"/>
      <c r="BD282" s="178"/>
      <c r="BE282" s="178"/>
      <c r="BF282" s="178"/>
      <c r="BG282" s="178"/>
      <c r="BH282" s="178"/>
      <c r="BI282" s="178"/>
      <c r="BJ282" s="178"/>
      <c r="BK282" s="178"/>
      <c r="BL282" s="178"/>
      <c r="BM282" s="178"/>
      <c r="BN282" s="178"/>
      <c r="BO282" s="178"/>
      <c r="BP282" s="178"/>
      <c r="BQ282" s="178"/>
      <c r="BR282" s="178"/>
      <c r="BS282" s="178"/>
      <c r="BT282" s="178"/>
      <c r="BU282" s="178"/>
    </row>
    <row r="283" spans="2:73" ht="15" customHeight="1" x14ac:dyDescent="0.25">
      <c r="B283" s="178"/>
      <c r="C283" s="179"/>
      <c r="D283" s="178"/>
      <c r="E283" s="178"/>
      <c r="F283" s="178"/>
      <c r="G283" s="178"/>
      <c r="H283" s="178"/>
      <c r="I283" s="178"/>
      <c r="J283" s="178"/>
      <c r="K283" s="178"/>
      <c r="L283" s="178"/>
      <c r="M283" s="178"/>
      <c r="N283" s="178"/>
      <c r="O283" s="178"/>
      <c r="P283" s="178"/>
      <c r="Q283" s="178"/>
      <c r="R283" s="178"/>
      <c r="S283" s="178"/>
      <c r="T283" s="178"/>
      <c r="U283" s="178"/>
      <c r="V283" s="178"/>
      <c r="W283" s="178"/>
      <c r="X283" s="178"/>
      <c r="Y283" s="178"/>
      <c r="Z283" s="178"/>
      <c r="AA283" s="178"/>
      <c r="AB283" s="178"/>
      <c r="AC283" s="178"/>
      <c r="AD283" s="178"/>
      <c r="AE283" s="178"/>
      <c r="AF283" s="178"/>
      <c r="AG283" s="178"/>
      <c r="AH283" s="178"/>
      <c r="AI283" s="178"/>
      <c r="AJ283" s="178"/>
      <c r="AK283" s="178"/>
      <c r="AL283" s="178"/>
      <c r="AM283" s="178"/>
      <c r="AN283" s="178"/>
      <c r="AO283" s="178"/>
      <c r="AP283" s="178"/>
      <c r="AQ283" s="178"/>
      <c r="AR283" s="178"/>
      <c r="AS283" s="178"/>
      <c r="AT283" s="178"/>
      <c r="AU283" s="178"/>
      <c r="AV283" s="178"/>
      <c r="AW283" s="178"/>
      <c r="AX283" s="178"/>
      <c r="AY283" s="178"/>
      <c r="AZ283" s="178"/>
      <c r="BA283" s="178"/>
      <c r="BB283" s="178"/>
      <c r="BC283" s="178"/>
      <c r="BD283" s="178"/>
      <c r="BE283" s="178"/>
      <c r="BF283" s="178"/>
      <c r="BG283" s="178"/>
      <c r="BH283" s="178"/>
      <c r="BI283" s="178"/>
      <c r="BJ283" s="178"/>
      <c r="BK283" s="178"/>
      <c r="BL283" s="178"/>
      <c r="BM283" s="178"/>
      <c r="BN283" s="178"/>
      <c r="BO283" s="178"/>
      <c r="BP283" s="178"/>
      <c r="BQ283" s="178"/>
      <c r="BR283" s="178"/>
      <c r="BS283" s="178"/>
      <c r="BT283" s="178"/>
      <c r="BU283" s="178"/>
    </row>
    <row r="284" spans="2:73" ht="15" customHeight="1" x14ac:dyDescent="0.25">
      <c r="B284" s="178"/>
      <c r="C284" s="179"/>
      <c r="D284" s="178"/>
      <c r="E284" s="178"/>
      <c r="F284" s="178"/>
      <c r="G284" s="178"/>
      <c r="H284" s="178"/>
      <c r="I284" s="178"/>
      <c r="J284" s="178"/>
      <c r="K284" s="178"/>
      <c r="L284" s="178"/>
      <c r="M284" s="178"/>
      <c r="N284" s="178"/>
      <c r="O284" s="178"/>
      <c r="P284" s="178"/>
      <c r="Q284" s="178"/>
      <c r="R284" s="178"/>
      <c r="S284" s="178"/>
      <c r="T284" s="178"/>
      <c r="U284" s="178"/>
      <c r="V284" s="178"/>
      <c r="W284" s="178"/>
      <c r="X284" s="178"/>
      <c r="Y284" s="178"/>
      <c r="Z284" s="178"/>
      <c r="AA284" s="178"/>
      <c r="AB284" s="178"/>
      <c r="AC284" s="178"/>
      <c r="AD284" s="178"/>
      <c r="AE284" s="178"/>
      <c r="AF284" s="178"/>
      <c r="AG284" s="178"/>
      <c r="AH284" s="178"/>
      <c r="AI284" s="178"/>
      <c r="AJ284" s="178"/>
      <c r="AK284" s="178"/>
      <c r="AL284" s="178"/>
      <c r="AM284" s="178"/>
      <c r="AN284" s="178"/>
      <c r="AO284" s="178"/>
      <c r="AP284" s="178"/>
      <c r="AQ284" s="178"/>
      <c r="AR284" s="178"/>
      <c r="AS284" s="178"/>
      <c r="AT284" s="178"/>
      <c r="AU284" s="178"/>
      <c r="AV284" s="178"/>
      <c r="AW284" s="178"/>
      <c r="AX284" s="178"/>
      <c r="AY284" s="178"/>
      <c r="AZ284" s="178"/>
      <c r="BA284" s="178"/>
      <c r="BB284" s="178"/>
      <c r="BC284" s="178"/>
      <c r="BD284" s="178"/>
      <c r="BE284" s="178"/>
      <c r="BF284" s="178"/>
      <c r="BG284" s="178"/>
      <c r="BH284" s="178"/>
      <c r="BI284" s="178"/>
      <c r="BJ284" s="178"/>
      <c r="BK284" s="178"/>
      <c r="BL284" s="178"/>
      <c r="BM284" s="178"/>
      <c r="BN284" s="178"/>
      <c r="BO284" s="178"/>
      <c r="BP284" s="178"/>
      <c r="BQ284" s="178"/>
      <c r="BR284" s="178"/>
      <c r="BS284" s="178"/>
      <c r="BT284" s="178"/>
      <c r="BU284" s="178"/>
    </row>
    <row r="285" spans="2:73" ht="15" customHeight="1" x14ac:dyDescent="0.25">
      <c r="B285" s="178"/>
      <c r="C285" s="179"/>
      <c r="D285" s="178"/>
      <c r="E285" s="178"/>
      <c r="F285" s="178"/>
      <c r="G285" s="178"/>
      <c r="H285" s="178"/>
      <c r="I285" s="178"/>
      <c r="J285" s="178"/>
      <c r="K285" s="178"/>
      <c r="L285" s="178"/>
      <c r="M285" s="178"/>
      <c r="N285" s="178"/>
      <c r="O285" s="178"/>
      <c r="P285" s="178"/>
      <c r="Q285" s="178"/>
      <c r="R285" s="178"/>
      <c r="S285" s="178"/>
      <c r="T285" s="178"/>
      <c r="U285" s="178"/>
      <c r="V285" s="178"/>
      <c r="W285" s="178"/>
      <c r="X285" s="178"/>
      <c r="Y285" s="178"/>
      <c r="Z285" s="178"/>
      <c r="AA285" s="178"/>
      <c r="AB285" s="178"/>
      <c r="AC285" s="178"/>
      <c r="AD285" s="178"/>
      <c r="AE285" s="178"/>
      <c r="AF285" s="178"/>
      <c r="AG285" s="178"/>
      <c r="AH285" s="178"/>
      <c r="AI285" s="178"/>
      <c r="AJ285" s="178"/>
      <c r="AK285" s="178"/>
      <c r="AL285" s="178"/>
      <c r="AM285" s="178"/>
      <c r="AN285" s="178"/>
      <c r="AO285" s="178"/>
      <c r="AP285" s="178"/>
      <c r="AQ285" s="178"/>
      <c r="AR285" s="178"/>
      <c r="AS285" s="178"/>
      <c r="AT285" s="178"/>
      <c r="AU285" s="178"/>
      <c r="AV285" s="178"/>
      <c r="AW285" s="178"/>
      <c r="AX285" s="178"/>
      <c r="AY285" s="178"/>
      <c r="AZ285" s="178"/>
      <c r="BA285" s="178"/>
      <c r="BB285" s="178"/>
      <c r="BC285" s="178"/>
      <c r="BD285" s="178"/>
      <c r="BE285" s="178"/>
      <c r="BF285" s="178"/>
      <c r="BG285" s="178"/>
      <c r="BH285" s="178"/>
      <c r="BI285" s="178"/>
      <c r="BJ285" s="178"/>
      <c r="BK285" s="178"/>
      <c r="BL285" s="178"/>
      <c r="BM285" s="178"/>
      <c r="BN285" s="178"/>
      <c r="BO285" s="178"/>
      <c r="BP285" s="178"/>
      <c r="BQ285" s="178"/>
      <c r="BR285" s="178"/>
      <c r="BS285" s="178"/>
      <c r="BT285" s="178"/>
      <c r="BU285" s="178"/>
    </row>
    <row r="286" spans="2:73" ht="15" customHeight="1" x14ac:dyDescent="0.25">
      <c r="B286" s="178"/>
      <c r="C286" s="179"/>
      <c r="D286" s="178"/>
      <c r="E286" s="178"/>
      <c r="F286" s="178"/>
      <c r="G286" s="178"/>
      <c r="H286" s="178"/>
      <c r="I286" s="178"/>
      <c r="J286" s="178"/>
      <c r="K286" s="178"/>
      <c r="L286" s="178"/>
      <c r="M286" s="178"/>
      <c r="N286" s="178"/>
      <c r="O286" s="178"/>
      <c r="P286" s="178"/>
      <c r="Q286" s="178"/>
      <c r="R286" s="178"/>
      <c r="S286" s="178"/>
      <c r="T286" s="178"/>
      <c r="U286" s="178"/>
      <c r="V286" s="178"/>
      <c r="W286" s="178"/>
      <c r="X286" s="178"/>
      <c r="Y286" s="178"/>
      <c r="Z286" s="178"/>
      <c r="AA286" s="178"/>
      <c r="AB286" s="178"/>
      <c r="AC286" s="178"/>
      <c r="AD286" s="178"/>
      <c r="AE286" s="178"/>
      <c r="AF286" s="178"/>
      <c r="AG286" s="178"/>
      <c r="AH286" s="178"/>
      <c r="AI286" s="178"/>
      <c r="AJ286" s="178"/>
      <c r="AK286" s="178"/>
      <c r="AL286" s="178"/>
      <c r="AM286" s="178"/>
      <c r="AN286" s="178"/>
      <c r="AO286" s="178"/>
      <c r="AP286" s="178"/>
      <c r="AQ286" s="178"/>
      <c r="AR286" s="178"/>
      <c r="AS286" s="178"/>
      <c r="AT286" s="178"/>
      <c r="AU286" s="178"/>
      <c r="AV286" s="178"/>
      <c r="AW286" s="178"/>
      <c r="AX286" s="178"/>
      <c r="AY286" s="178"/>
      <c r="AZ286" s="178"/>
      <c r="BA286" s="178"/>
      <c r="BB286" s="178"/>
      <c r="BC286" s="178"/>
      <c r="BD286" s="178"/>
      <c r="BE286" s="178"/>
      <c r="BF286" s="178"/>
      <c r="BG286" s="178"/>
      <c r="BH286" s="178"/>
      <c r="BI286" s="178"/>
      <c r="BJ286" s="178"/>
      <c r="BK286" s="178"/>
      <c r="BL286" s="178"/>
      <c r="BM286" s="178"/>
      <c r="BN286" s="178"/>
      <c r="BO286" s="178"/>
      <c r="BP286" s="178"/>
      <c r="BQ286" s="178"/>
      <c r="BR286" s="178"/>
      <c r="BS286" s="178"/>
      <c r="BT286" s="178"/>
      <c r="BU286" s="178"/>
    </row>
    <row r="287" spans="2:73" ht="15" customHeight="1" x14ac:dyDescent="0.25">
      <c r="B287" s="178"/>
      <c r="C287" s="179"/>
      <c r="D287" s="178"/>
      <c r="E287" s="178"/>
      <c r="F287" s="178"/>
      <c r="G287" s="178"/>
      <c r="H287" s="178"/>
      <c r="I287" s="178"/>
      <c r="J287" s="178"/>
      <c r="K287" s="178"/>
      <c r="L287" s="178"/>
      <c r="M287" s="178"/>
      <c r="N287" s="178"/>
      <c r="O287" s="178"/>
      <c r="P287" s="178"/>
      <c r="Q287" s="178"/>
      <c r="R287" s="178"/>
      <c r="S287" s="178"/>
      <c r="T287" s="178"/>
      <c r="U287" s="178"/>
      <c r="V287" s="178"/>
      <c r="W287" s="178"/>
      <c r="X287" s="178"/>
      <c r="Y287" s="178"/>
      <c r="Z287" s="178"/>
      <c r="AA287" s="178"/>
      <c r="AB287" s="178"/>
      <c r="AC287" s="178"/>
      <c r="AD287" s="178"/>
      <c r="AE287" s="178"/>
      <c r="AF287" s="178"/>
      <c r="AG287" s="178"/>
      <c r="AH287" s="178"/>
      <c r="AI287" s="178"/>
      <c r="AJ287" s="178"/>
      <c r="AK287" s="178"/>
      <c r="AL287" s="178"/>
      <c r="AM287" s="178"/>
      <c r="AN287" s="178"/>
      <c r="AO287" s="178"/>
      <c r="AP287" s="178"/>
      <c r="AQ287" s="178"/>
      <c r="AR287" s="178"/>
      <c r="AS287" s="178"/>
      <c r="AT287" s="178"/>
      <c r="AU287" s="178"/>
      <c r="AV287" s="178"/>
      <c r="AW287" s="178"/>
      <c r="AX287" s="178"/>
      <c r="AY287" s="178"/>
      <c r="AZ287" s="178"/>
      <c r="BA287" s="178"/>
      <c r="BB287" s="178"/>
      <c r="BC287" s="178"/>
      <c r="BD287" s="178"/>
      <c r="BE287" s="178"/>
      <c r="BF287" s="178"/>
      <c r="BG287" s="178"/>
      <c r="BH287" s="178"/>
      <c r="BI287" s="178"/>
      <c r="BJ287" s="178"/>
      <c r="BK287" s="178"/>
      <c r="BL287" s="178"/>
      <c r="BM287" s="178"/>
      <c r="BN287" s="178"/>
      <c r="BO287" s="178"/>
      <c r="BP287" s="178"/>
      <c r="BQ287" s="178"/>
      <c r="BR287" s="178"/>
      <c r="BS287" s="178"/>
      <c r="BT287" s="178"/>
      <c r="BU287" s="178"/>
    </row>
    <row r="288" spans="2:73" ht="15" customHeight="1" x14ac:dyDescent="0.25">
      <c r="B288" s="178"/>
      <c r="C288" s="179"/>
      <c r="D288" s="178"/>
      <c r="E288" s="178"/>
      <c r="F288" s="178"/>
      <c r="G288" s="178"/>
      <c r="H288" s="178"/>
      <c r="I288" s="178"/>
      <c r="J288" s="178"/>
      <c r="K288" s="178"/>
      <c r="L288" s="178"/>
      <c r="M288" s="178"/>
      <c r="N288" s="178"/>
      <c r="O288" s="178"/>
      <c r="P288" s="178"/>
      <c r="Q288" s="178"/>
      <c r="R288" s="178"/>
      <c r="S288" s="178"/>
      <c r="T288" s="178"/>
      <c r="U288" s="178"/>
      <c r="V288" s="178"/>
      <c r="W288" s="178"/>
      <c r="X288" s="178"/>
      <c r="Y288" s="178"/>
      <c r="Z288" s="178"/>
      <c r="AA288" s="178"/>
      <c r="AB288" s="178"/>
      <c r="AC288" s="178"/>
      <c r="AD288" s="178"/>
      <c r="AE288" s="178"/>
      <c r="AF288" s="178"/>
      <c r="AG288" s="178"/>
      <c r="AH288" s="178"/>
      <c r="AI288" s="178"/>
      <c r="AJ288" s="178"/>
      <c r="AK288" s="178"/>
      <c r="AL288" s="178"/>
      <c r="AM288" s="178"/>
      <c r="AN288" s="178"/>
      <c r="AO288" s="178"/>
      <c r="AP288" s="178"/>
      <c r="AQ288" s="178"/>
      <c r="AR288" s="178"/>
      <c r="AS288" s="178"/>
      <c r="AT288" s="178"/>
      <c r="AU288" s="178"/>
      <c r="AV288" s="178"/>
      <c r="AW288" s="178"/>
      <c r="AX288" s="178"/>
      <c r="AY288" s="178"/>
      <c r="AZ288" s="178"/>
      <c r="BA288" s="178"/>
      <c r="BB288" s="178"/>
      <c r="BC288" s="178"/>
      <c r="BD288" s="178"/>
      <c r="BE288" s="178"/>
      <c r="BF288" s="178"/>
      <c r="BG288" s="178"/>
      <c r="BH288" s="178"/>
      <c r="BI288" s="178"/>
      <c r="BJ288" s="178"/>
      <c r="BK288" s="178"/>
      <c r="BL288" s="178"/>
      <c r="BM288" s="178"/>
      <c r="BN288" s="178"/>
      <c r="BO288" s="178"/>
      <c r="BP288" s="178"/>
      <c r="BQ288" s="178"/>
      <c r="BR288" s="178"/>
      <c r="BS288" s="178"/>
      <c r="BT288" s="178"/>
      <c r="BU288" s="178"/>
    </row>
    <row r="289" spans="2:73" ht="15" customHeight="1" x14ac:dyDescent="0.25">
      <c r="B289" s="178"/>
      <c r="C289" s="179"/>
      <c r="D289" s="178"/>
      <c r="E289" s="178"/>
      <c r="F289" s="178"/>
      <c r="G289" s="178"/>
      <c r="H289" s="178"/>
      <c r="I289" s="178"/>
      <c r="J289" s="178"/>
      <c r="K289" s="178"/>
      <c r="L289" s="178"/>
      <c r="M289" s="178"/>
      <c r="N289" s="178"/>
      <c r="O289" s="178"/>
      <c r="P289" s="178"/>
      <c r="Q289" s="178"/>
      <c r="R289" s="178"/>
      <c r="S289" s="178"/>
      <c r="T289" s="178"/>
      <c r="U289" s="178"/>
      <c r="V289" s="178"/>
      <c r="W289" s="178"/>
      <c r="X289" s="178"/>
      <c r="Y289" s="178"/>
      <c r="Z289" s="178"/>
      <c r="AA289" s="178"/>
      <c r="AB289" s="178"/>
      <c r="AC289" s="178"/>
      <c r="AD289" s="178"/>
      <c r="AE289" s="178"/>
      <c r="AF289" s="178"/>
      <c r="AG289" s="178"/>
      <c r="AH289" s="178"/>
      <c r="AI289" s="178"/>
      <c r="AJ289" s="178"/>
      <c r="AK289" s="178"/>
      <c r="AL289" s="178"/>
      <c r="AM289" s="178"/>
      <c r="AN289" s="178"/>
      <c r="AO289" s="178"/>
      <c r="AP289" s="178"/>
      <c r="AQ289" s="178"/>
      <c r="AR289" s="178"/>
      <c r="AS289" s="178"/>
      <c r="AT289" s="178"/>
      <c r="AU289" s="178"/>
      <c r="AV289" s="178"/>
      <c r="AW289" s="178"/>
      <c r="AX289" s="178"/>
      <c r="AY289" s="178"/>
      <c r="AZ289" s="178"/>
      <c r="BA289" s="178"/>
      <c r="BB289" s="178"/>
      <c r="BC289" s="178"/>
      <c r="BD289" s="178"/>
      <c r="BE289" s="178"/>
      <c r="BF289" s="178"/>
      <c r="BG289" s="178"/>
      <c r="BH289" s="178"/>
      <c r="BI289" s="178"/>
      <c r="BJ289" s="178"/>
      <c r="BK289" s="178"/>
      <c r="BL289" s="178"/>
      <c r="BM289" s="178"/>
      <c r="BN289" s="178"/>
      <c r="BO289" s="178"/>
      <c r="BP289" s="178"/>
      <c r="BQ289" s="178"/>
      <c r="BR289" s="178"/>
      <c r="BS289" s="178"/>
      <c r="BT289" s="178"/>
      <c r="BU289" s="178"/>
    </row>
    <row r="290" spans="2:73" ht="15" customHeight="1" x14ac:dyDescent="0.25">
      <c r="B290" s="178"/>
      <c r="C290" s="179"/>
      <c r="D290" s="178"/>
      <c r="E290" s="178"/>
      <c r="F290" s="178"/>
      <c r="G290" s="178"/>
      <c r="H290" s="178"/>
      <c r="I290" s="178"/>
      <c r="J290" s="178"/>
      <c r="K290" s="178"/>
      <c r="L290" s="178"/>
      <c r="M290" s="178"/>
      <c r="N290" s="178"/>
      <c r="O290" s="178"/>
      <c r="P290" s="178"/>
      <c r="Q290" s="178"/>
      <c r="R290" s="178"/>
      <c r="S290" s="178"/>
      <c r="T290" s="178"/>
      <c r="U290" s="178"/>
      <c r="V290" s="178"/>
      <c r="W290" s="178"/>
      <c r="X290" s="178"/>
      <c r="Y290" s="178"/>
      <c r="Z290" s="178"/>
      <c r="AA290" s="178"/>
      <c r="AB290" s="178"/>
      <c r="AC290" s="178"/>
      <c r="AD290" s="178"/>
      <c r="AE290" s="178"/>
      <c r="AF290" s="178"/>
      <c r="AG290" s="178"/>
      <c r="AH290" s="178"/>
      <c r="AI290" s="178"/>
      <c r="AJ290" s="178"/>
      <c r="AK290" s="178"/>
      <c r="AL290" s="178"/>
      <c r="AM290" s="178"/>
      <c r="AN290" s="178"/>
      <c r="AO290" s="178"/>
      <c r="AP290" s="178"/>
      <c r="AQ290" s="178"/>
      <c r="AR290" s="178"/>
      <c r="AS290" s="178"/>
      <c r="AT290" s="178"/>
      <c r="AU290" s="178"/>
      <c r="AV290" s="178"/>
      <c r="AW290" s="178"/>
      <c r="AX290" s="178"/>
      <c r="AY290" s="178"/>
      <c r="AZ290" s="178"/>
      <c r="BA290" s="178"/>
      <c r="BB290" s="178"/>
      <c r="BC290" s="178"/>
      <c r="BD290" s="178"/>
      <c r="BE290" s="178"/>
      <c r="BF290" s="178"/>
      <c r="BG290" s="178"/>
      <c r="BH290" s="178"/>
      <c r="BI290" s="178"/>
      <c r="BJ290" s="178"/>
      <c r="BK290" s="178"/>
      <c r="BL290" s="178"/>
      <c r="BM290" s="178"/>
      <c r="BN290" s="178"/>
      <c r="BO290" s="178"/>
      <c r="BP290" s="178"/>
      <c r="BQ290" s="178"/>
      <c r="BR290" s="178"/>
      <c r="BS290" s="178"/>
      <c r="BT290" s="178"/>
      <c r="BU290" s="178"/>
    </row>
    <row r="291" spans="2:73" ht="15" customHeight="1" x14ac:dyDescent="0.25">
      <c r="B291" s="178"/>
      <c r="C291" s="179"/>
      <c r="D291" s="178"/>
      <c r="E291" s="178"/>
      <c r="F291" s="178"/>
      <c r="G291" s="178"/>
      <c r="H291" s="178"/>
      <c r="I291" s="178"/>
      <c r="J291" s="178"/>
      <c r="K291" s="178"/>
      <c r="L291" s="178"/>
      <c r="M291" s="178"/>
      <c r="N291" s="178"/>
      <c r="O291" s="178"/>
      <c r="P291" s="178"/>
      <c r="Q291" s="178"/>
      <c r="R291" s="178"/>
      <c r="S291" s="178"/>
      <c r="T291" s="178"/>
      <c r="U291" s="178"/>
      <c r="V291" s="178"/>
      <c r="W291" s="178"/>
      <c r="X291" s="178"/>
      <c r="Y291" s="178"/>
      <c r="Z291" s="178"/>
      <c r="AA291" s="178"/>
      <c r="AB291" s="178"/>
      <c r="AC291" s="178"/>
      <c r="AD291" s="178"/>
      <c r="AE291" s="178"/>
      <c r="AF291" s="178"/>
      <c r="AG291" s="178"/>
      <c r="AH291" s="178"/>
      <c r="AI291" s="178"/>
      <c r="AJ291" s="178"/>
      <c r="AK291" s="178"/>
      <c r="AL291" s="178"/>
      <c r="AM291" s="178"/>
      <c r="AN291" s="178"/>
      <c r="AO291" s="178"/>
      <c r="AP291" s="178"/>
      <c r="AQ291" s="178"/>
      <c r="AR291" s="178"/>
      <c r="AS291" s="178"/>
      <c r="AT291" s="178"/>
      <c r="AU291" s="178"/>
      <c r="AV291" s="178"/>
      <c r="AW291" s="178"/>
      <c r="AX291" s="178"/>
      <c r="AY291" s="178"/>
      <c r="AZ291" s="178"/>
      <c r="BA291" s="178"/>
      <c r="BB291" s="178"/>
      <c r="BC291" s="178"/>
      <c r="BD291" s="178"/>
      <c r="BE291" s="178"/>
      <c r="BF291" s="178"/>
      <c r="BG291" s="178"/>
      <c r="BH291" s="178"/>
      <c r="BI291" s="178"/>
      <c r="BJ291" s="178"/>
      <c r="BK291" s="178"/>
      <c r="BL291" s="178"/>
      <c r="BM291" s="178"/>
      <c r="BN291" s="178"/>
      <c r="BO291" s="178"/>
      <c r="BP291" s="178"/>
      <c r="BQ291" s="178"/>
      <c r="BR291" s="178"/>
      <c r="BS291" s="178"/>
      <c r="BT291" s="178"/>
      <c r="BU291" s="178"/>
    </row>
    <row r="292" spans="2:73" ht="15" customHeight="1" x14ac:dyDescent="0.25">
      <c r="B292" s="178"/>
      <c r="C292" s="179"/>
      <c r="D292" s="178"/>
      <c r="E292" s="178"/>
      <c r="F292" s="178"/>
      <c r="G292" s="178"/>
      <c r="H292" s="178"/>
      <c r="I292" s="178"/>
      <c r="J292" s="178"/>
      <c r="K292" s="178"/>
      <c r="L292" s="178"/>
      <c r="M292" s="178"/>
      <c r="N292" s="178"/>
      <c r="O292" s="178"/>
      <c r="P292" s="178"/>
      <c r="Q292" s="178"/>
      <c r="R292" s="178"/>
      <c r="S292" s="178"/>
      <c r="T292" s="178"/>
      <c r="U292" s="178"/>
      <c r="V292" s="178"/>
      <c r="W292" s="178"/>
      <c r="X292" s="178"/>
      <c r="Y292" s="178"/>
      <c r="Z292" s="178"/>
      <c r="AA292" s="178"/>
      <c r="AB292" s="178"/>
      <c r="AC292" s="178"/>
      <c r="AD292" s="178"/>
      <c r="AE292" s="178"/>
      <c r="AF292" s="178"/>
      <c r="AG292" s="178"/>
      <c r="AH292" s="178"/>
      <c r="AI292" s="178"/>
      <c r="AJ292" s="178"/>
      <c r="AK292" s="178"/>
      <c r="AL292" s="178"/>
      <c r="AM292" s="178"/>
      <c r="AN292" s="178"/>
      <c r="AO292" s="178"/>
      <c r="AP292" s="178"/>
      <c r="AQ292" s="178"/>
      <c r="AR292" s="178"/>
      <c r="AS292" s="178"/>
      <c r="AT292" s="178"/>
      <c r="AU292" s="178"/>
      <c r="AV292" s="178"/>
      <c r="AW292" s="178"/>
      <c r="AX292" s="178"/>
      <c r="AY292" s="178"/>
      <c r="AZ292" s="178"/>
      <c r="BA292" s="178"/>
      <c r="BB292" s="178"/>
      <c r="BC292" s="178"/>
      <c r="BD292" s="178"/>
      <c r="BE292" s="178"/>
      <c r="BF292" s="178"/>
      <c r="BG292" s="178"/>
      <c r="BH292" s="178"/>
      <c r="BI292" s="178"/>
      <c r="BJ292" s="178"/>
      <c r="BK292" s="178"/>
      <c r="BL292" s="178"/>
      <c r="BM292" s="178"/>
      <c r="BN292" s="178"/>
      <c r="BO292" s="178"/>
      <c r="BP292" s="178"/>
      <c r="BQ292" s="178"/>
      <c r="BR292" s="178"/>
      <c r="BS292" s="178"/>
      <c r="BT292" s="178"/>
      <c r="BU292" s="178"/>
    </row>
    <row r="293" spans="2:73" ht="15" customHeight="1" x14ac:dyDescent="0.25">
      <c r="B293" s="178"/>
      <c r="C293" s="179"/>
      <c r="D293" s="178"/>
      <c r="E293" s="178"/>
      <c r="F293" s="178"/>
      <c r="G293" s="178"/>
      <c r="H293" s="178"/>
      <c r="I293" s="178"/>
      <c r="J293" s="178"/>
      <c r="K293" s="178"/>
      <c r="L293" s="178"/>
      <c r="M293" s="178"/>
      <c r="N293" s="178"/>
      <c r="O293" s="178"/>
      <c r="P293" s="178"/>
      <c r="Q293" s="178"/>
      <c r="R293" s="178"/>
      <c r="S293" s="178"/>
      <c r="T293" s="178"/>
      <c r="U293" s="178"/>
      <c r="V293" s="178"/>
      <c r="W293" s="178"/>
      <c r="X293" s="178"/>
      <c r="Y293" s="178"/>
      <c r="Z293" s="178"/>
      <c r="AA293" s="178"/>
      <c r="AB293" s="178"/>
      <c r="AC293" s="178"/>
      <c r="AD293" s="178"/>
      <c r="AE293" s="178"/>
      <c r="AF293" s="178"/>
      <c r="AG293" s="178"/>
      <c r="AH293" s="178"/>
      <c r="AI293" s="178"/>
      <c r="AJ293" s="178"/>
      <c r="AK293" s="178"/>
      <c r="AL293" s="178"/>
      <c r="AM293" s="178"/>
      <c r="AN293" s="178"/>
      <c r="AO293" s="178"/>
      <c r="AP293" s="178"/>
      <c r="AQ293" s="178"/>
      <c r="AR293" s="178"/>
      <c r="AS293" s="178"/>
      <c r="AT293" s="178"/>
      <c r="AU293" s="178"/>
      <c r="AV293" s="178"/>
      <c r="AW293" s="178"/>
      <c r="AX293" s="178"/>
      <c r="AY293" s="178"/>
      <c r="AZ293" s="178"/>
      <c r="BA293" s="178"/>
      <c r="BB293" s="178"/>
      <c r="BC293" s="178"/>
      <c r="BD293" s="178"/>
      <c r="BE293" s="178"/>
      <c r="BF293" s="178"/>
      <c r="BG293" s="178"/>
      <c r="BH293" s="178"/>
      <c r="BI293" s="178"/>
      <c r="BJ293" s="178"/>
      <c r="BK293" s="178"/>
      <c r="BL293" s="178"/>
      <c r="BM293" s="178"/>
      <c r="BN293" s="178"/>
      <c r="BO293" s="178"/>
      <c r="BP293" s="178"/>
      <c r="BQ293" s="178"/>
      <c r="BR293" s="178"/>
      <c r="BS293" s="178"/>
      <c r="BT293" s="178"/>
      <c r="BU293" s="178"/>
    </row>
    <row r="294" spans="2:73" ht="15" customHeight="1" x14ac:dyDescent="0.25">
      <c r="B294" s="178"/>
      <c r="C294" s="179"/>
      <c r="D294" s="178"/>
      <c r="E294" s="178"/>
      <c r="F294" s="178"/>
      <c r="G294" s="178"/>
      <c r="H294" s="178"/>
      <c r="I294" s="178"/>
      <c r="J294" s="178"/>
      <c r="K294" s="178"/>
      <c r="L294" s="178"/>
      <c r="M294" s="178"/>
      <c r="N294" s="178"/>
      <c r="O294" s="178"/>
      <c r="P294" s="178"/>
      <c r="Q294" s="178"/>
      <c r="R294" s="178"/>
      <c r="S294" s="178"/>
      <c r="T294" s="178"/>
      <c r="U294" s="178"/>
      <c r="V294" s="178"/>
      <c r="W294" s="178"/>
      <c r="X294" s="178"/>
      <c r="Y294" s="178"/>
      <c r="Z294" s="178"/>
      <c r="AA294" s="178"/>
      <c r="AB294" s="178"/>
      <c r="AC294" s="178"/>
      <c r="AD294" s="178"/>
      <c r="AE294" s="178"/>
      <c r="AF294" s="178"/>
      <c r="AG294" s="178"/>
      <c r="AH294" s="178"/>
      <c r="AI294" s="178"/>
      <c r="AJ294" s="178"/>
      <c r="AK294" s="178"/>
      <c r="AL294" s="178"/>
      <c r="AM294" s="178"/>
      <c r="AN294" s="178"/>
      <c r="AO294" s="178"/>
      <c r="AP294" s="178"/>
      <c r="AQ294" s="178"/>
      <c r="AR294" s="178"/>
      <c r="AS294" s="178"/>
      <c r="AT294" s="178"/>
      <c r="AU294" s="178"/>
      <c r="AV294" s="178"/>
      <c r="AW294" s="178"/>
      <c r="AX294" s="178"/>
      <c r="AY294" s="178"/>
      <c r="AZ294" s="178"/>
      <c r="BA294" s="178"/>
      <c r="BB294" s="178"/>
      <c r="BC294" s="178"/>
      <c r="BD294" s="178"/>
      <c r="BE294" s="178"/>
      <c r="BF294" s="178"/>
      <c r="BG294" s="178"/>
      <c r="BH294" s="178"/>
      <c r="BI294" s="178"/>
      <c r="BJ294" s="178"/>
      <c r="BK294" s="178"/>
      <c r="BL294" s="178"/>
      <c r="BM294" s="178"/>
      <c r="BN294" s="178"/>
      <c r="BO294" s="178"/>
      <c r="BP294" s="178"/>
      <c r="BQ294" s="178"/>
      <c r="BR294" s="178"/>
      <c r="BS294" s="178"/>
      <c r="BT294" s="178"/>
      <c r="BU294" s="178"/>
    </row>
    <row r="295" spans="2:73" ht="15" customHeight="1" x14ac:dyDescent="0.25">
      <c r="B295" s="178"/>
      <c r="C295" s="179"/>
      <c r="D295" s="178"/>
      <c r="E295" s="178"/>
      <c r="F295" s="178"/>
      <c r="G295" s="178"/>
      <c r="H295" s="178"/>
      <c r="I295" s="178"/>
      <c r="J295" s="178"/>
      <c r="K295" s="178"/>
      <c r="L295" s="178"/>
      <c r="M295" s="178"/>
      <c r="N295" s="178"/>
      <c r="O295" s="178"/>
      <c r="P295" s="178"/>
      <c r="Q295" s="178"/>
      <c r="R295" s="178"/>
      <c r="S295" s="178"/>
      <c r="T295" s="178"/>
      <c r="U295" s="178"/>
      <c r="V295" s="178"/>
      <c r="W295" s="178"/>
      <c r="X295" s="178"/>
      <c r="Y295" s="178"/>
      <c r="Z295" s="178"/>
      <c r="AA295" s="178"/>
      <c r="AB295" s="178"/>
      <c r="AC295" s="178"/>
      <c r="AD295" s="178"/>
      <c r="AE295" s="178"/>
      <c r="AF295" s="178"/>
      <c r="AG295" s="178"/>
      <c r="AH295" s="178"/>
      <c r="AI295" s="178"/>
      <c r="AJ295" s="178"/>
      <c r="AK295" s="178"/>
      <c r="AL295" s="178"/>
      <c r="AM295" s="178"/>
      <c r="AN295" s="178"/>
      <c r="AO295" s="178"/>
      <c r="AP295" s="178"/>
      <c r="AQ295" s="178"/>
      <c r="AR295" s="178"/>
      <c r="AS295" s="178"/>
      <c r="AT295" s="178"/>
      <c r="AU295" s="178"/>
      <c r="AV295" s="178"/>
      <c r="AW295" s="178"/>
      <c r="AX295" s="178"/>
      <c r="AY295" s="178"/>
      <c r="AZ295" s="178"/>
      <c r="BA295" s="178"/>
      <c r="BB295" s="178"/>
      <c r="BC295" s="178"/>
      <c r="BD295" s="178"/>
      <c r="BE295" s="178"/>
      <c r="BF295" s="178"/>
      <c r="BG295" s="178"/>
      <c r="BH295" s="178"/>
      <c r="BI295" s="178"/>
      <c r="BJ295" s="178"/>
      <c r="BK295" s="178"/>
      <c r="BL295" s="178"/>
      <c r="BM295" s="178"/>
      <c r="BN295" s="178"/>
      <c r="BO295" s="178"/>
      <c r="BP295" s="178"/>
      <c r="BQ295" s="178"/>
      <c r="BR295" s="178"/>
      <c r="BS295" s="178"/>
      <c r="BT295" s="178"/>
      <c r="BU295" s="178"/>
    </row>
    <row r="296" spans="2:73" ht="15" customHeight="1" x14ac:dyDescent="0.25">
      <c r="B296" s="178"/>
      <c r="C296" s="179"/>
      <c r="D296" s="178"/>
      <c r="E296" s="178"/>
      <c r="F296" s="178"/>
      <c r="G296" s="178"/>
      <c r="H296" s="178"/>
      <c r="I296" s="178"/>
      <c r="J296" s="178"/>
      <c r="K296" s="178"/>
      <c r="L296" s="178"/>
      <c r="M296" s="178"/>
      <c r="N296" s="178"/>
      <c r="O296" s="178"/>
      <c r="P296" s="178"/>
      <c r="Q296" s="178"/>
      <c r="R296" s="178"/>
      <c r="S296" s="178"/>
      <c r="T296" s="178"/>
      <c r="U296" s="178"/>
      <c r="V296" s="178"/>
      <c r="W296" s="178"/>
      <c r="X296" s="178"/>
      <c r="Y296" s="178"/>
      <c r="Z296" s="178"/>
      <c r="AA296" s="178"/>
      <c r="AB296" s="178"/>
      <c r="AC296" s="178"/>
      <c r="AD296" s="178"/>
      <c r="AE296" s="178"/>
      <c r="AF296" s="178"/>
      <c r="AG296" s="178"/>
      <c r="AH296" s="178"/>
      <c r="AI296" s="178"/>
      <c r="AJ296" s="178"/>
      <c r="AK296" s="178"/>
      <c r="AL296" s="178"/>
      <c r="AM296" s="178"/>
      <c r="AN296" s="178"/>
      <c r="AO296" s="178"/>
      <c r="AP296" s="178"/>
      <c r="AQ296" s="178"/>
      <c r="AR296" s="178"/>
      <c r="AS296" s="178"/>
      <c r="AT296" s="178"/>
      <c r="AU296" s="178"/>
      <c r="AV296" s="178"/>
      <c r="AW296" s="178"/>
      <c r="AX296" s="178"/>
      <c r="AY296" s="178"/>
      <c r="AZ296" s="178"/>
      <c r="BA296" s="178"/>
      <c r="BB296" s="178"/>
      <c r="BC296" s="178"/>
      <c r="BD296" s="178"/>
      <c r="BE296" s="178"/>
      <c r="BF296" s="178"/>
      <c r="BG296" s="178"/>
      <c r="BH296" s="178"/>
      <c r="BI296" s="178"/>
      <c r="BJ296" s="178"/>
      <c r="BK296" s="178"/>
      <c r="BL296" s="178"/>
      <c r="BM296" s="178"/>
      <c r="BN296" s="178"/>
      <c r="BO296" s="178"/>
      <c r="BP296" s="178"/>
      <c r="BQ296" s="178"/>
      <c r="BR296" s="178"/>
      <c r="BS296" s="178"/>
      <c r="BT296" s="178"/>
      <c r="BU296" s="178"/>
    </row>
    <row r="297" spans="2:73" ht="15" customHeight="1" x14ac:dyDescent="0.25">
      <c r="B297" s="178"/>
      <c r="C297" s="179"/>
      <c r="D297" s="178"/>
      <c r="E297" s="178"/>
      <c r="F297" s="178"/>
      <c r="G297" s="178"/>
      <c r="H297" s="178"/>
      <c r="I297" s="178"/>
      <c r="J297" s="178"/>
      <c r="K297" s="178"/>
      <c r="L297" s="178"/>
      <c r="M297" s="178"/>
      <c r="N297" s="178"/>
      <c r="O297" s="178"/>
      <c r="P297" s="178"/>
      <c r="Q297" s="178"/>
      <c r="R297" s="178"/>
      <c r="S297" s="178"/>
      <c r="T297" s="178"/>
      <c r="U297" s="178"/>
      <c r="V297" s="178"/>
      <c r="W297" s="178"/>
      <c r="X297" s="178"/>
      <c r="Y297" s="178"/>
      <c r="Z297" s="178"/>
      <c r="AA297" s="178"/>
      <c r="AB297" s="178"/>
      <c r="AC297" s="178"/>
      <c r="AD297" s="178"/>
      <c r="AE297" s="178"/>
      <c r="AF297" s="178"/>
      <c r="AG297" s="178"/>
      <c r="AH297" s="178"/>
      <c r="AI297" s="178"/>
      <c r="AJ297" s="178"/>
      <c r="AK297" s="178"/>
      <c r="AL297" s="178"/>
      <c r="AM297" s="178"/>
      <c r="AN297" s="178"/>
      <c r="AO297" s="178"/>
      <c r="AP297" s="178"/>
      <c r="AQ297" s="178"/>
      <c r="AR297" s="178"/>
      <c r="AS297" s="178"/>
      <c r="AT297" s="178"/>
      <c r="AU297" s="178"/>
      <c r="AV297" s="178"/>
      <c r="AW297" s="178"/>
      <c r="AX297" s="178"/>
      <c r="AY297" s="178"/>
      <c r="AZ297" s="178"/>
      <c r="BA297" s="178"/>
      <c r="BB297" s="178"/>
      <c r="BC297" s="178"/>
      <c r="BD297" s="178"/>
      <c r="BE297" s="178"/>
      <c r="BF297" s="178"/>
      <c r="BG297" s="178"/>
      <c r="BH297" s="178"/>
      <c r="BI297" s="178"/>
      <c r="BJ297" s="178"/>
      <c r="BK297" s="178"/>
      <c r="BL297" s="178"/>
      <c r="BM297" s="178"/>
      <c r="BN297" s="178"/>
      <c r="BO297" s="178"/>
      <c r="BP297" s="178"/>
      <c r="BQ297" s="178"/>
      <c r="BR297" s="178"/>
      <c r="BS297" s="178"/>
      <c r="BT297" s="178"/>
      <c r="BU297" s="178"/>
    </row>
    <row r="298" spans="2:73" ht="15" customHeight="1" x14ac:dyDescent="0.25">
      <c r="B298" s="178"/>
      <c r="C298" s="179"/>
      <c r="D298" s="178"/>
      <c r="E298" s="178"/>
      <c r="F298" s="178"/>
      <c r="G298" s="178"/>
      <c r="H298" s="178"/>
      <c r="I298" s="178"/>
      <c r="J298" s="178"/>
      <c r="K298" s="178"/>
      <c r="L298" s="178"/>
      <c r="M298" s="178"/>
      <c r="N298" s="178"/>
      <c r="O298" s="178"/>
      <c r="P298" s="178"/>
      <c r="Q298" s="178"/>
      <c r="R298" s="178"/>
      <c r="S298" s="178"/>
      <c r="T298" s="178"/>
      <c r="U298" s="178"/>
      <c r="V298" s="178"/>
      <c r="W298" s="178"/>
      <c r="X298" s="178"/>
      <c r="Y298" s="178"/>
      <c r="Z298" s="178"/>
      <c r="AA298" s="178"/>
      <c r="AB298" s="178"/>
      <c r="AC298" s="178"/>
      <c r="AD298" s="178"/>
      <c r="AE298" s="178"/>
      <c r="AF298" s="178"/>
      <c r="AG298" s="178"/>
      <c r="AH298" s="178"/>
      <c r="AI298" s="178"/>
      <c r="AJ298" s="178"/>
      <c r="AK298" s="178"/>
      <c r="AL298" s="178"/>
      <c r="AM298" s="178"/>
      <c r="AN298" s="178"/>
      <c r="AO298" s="178"/>
      <c r="AP298" s="178"/>
      <c r="AQ298" s="178"/>
      <c r="AR298" s="178"/>
      <c r="AS298" s="178"/>
      <c r="AT298" s="178"/>
      <c r="AU298" s="178"/>
      <c r="AV298" s="178"/>
      <c r="AW298" s="178"/>
      <c r="AX298" s="178"/>
      <c r="AY298" s="178"/>
      <c r="AZ298" s="178"/>
      <c r="BA298" s="178"/>
      <c r="BB298" s="178"/>
      <c r="BC298" s="178"/>
      <c r="BD298" s="178"/>
      <c r="BE298" s="178"/>
      <c r="BF298" s="178"/>
      <c r="BG298" s="178"/>
      <c r="BH298" s="178"/>
      <c r="BI298" s="178"/>
      <c r="BJ298" s="178"/>
      <c r="BK298" s="178"/>
      <c r="BL298" s="178"/>
      <c r="BM298" s="178"/>
      <c r="BN298" s="178"/>
      <c r="BO298" s="178"/>
      <c r="BP298" s="178"/>
      <c r="BQ298" s="178"/>
      <c r="BR298" s="178"/>
      <c r="BS298" s="178"/>
      <c r="BT298" s="178"/>
      <c r="BU298" s="178"/>
    </row>
    <row r="299" spans="2:73" ht="15" customHeight="1" x14ac:dyDescent="0.25">
      <c r="B299" s="178"/>
      <c r="C299" s="179"/>
      <c r="D299" s="178"/>
      <c r="E299" s="178"/>
      <c r="F299" s="178"/>
      <c r="G299" s="178"/>
      <c r="H299" s="178"/>
      <c r="I299" s="178"/>
      <c r="J299" s="178"/>
      <c r="K299" s="178"/>
      <c r="L299" s="178"/>
      <c r="M299" s="178"/>
      <c r="N299" s="178"/>
      <c r="O299" s="178"/>
      <c r="P299" s="178"/>
      <c r="Q299" s="178"/>
      <c r="R299" s="178"/>
      <c r="S299" s="178"/>
      <c r="T299" s="178"/>
      <c r="U299" s="178"/>
      <c r="V299" s="178"/>
      <c r="W299" s="178"/>
      <c r="X299" s="178"/>
      <c r="Y299" s="178"/>
      <c r="Z299" s="178"/>
      <c r="AA299" s="178"/>
      <c r="AB299" s="178"/>
      <c r="AC299" s="178"/>
      <c r="AD299" s="178"/>
      <c r="AE299" s="178"/>
      <c r="AF299" s="178"/>
      <c r="AG299" s="178"/>
      <c r="AH299" s="178"/>
      <c r="AI299" s="178"/>
      <c r="AJ299" s="178"/>
      <c r="AK299" s="178"/>
      <c r="AL299" s="178"/>
      <c r="AM299" s="178"/>
      <c r="AN299" s="178"/>
      <c r="AO299" s="178"/>
      <c r="AP299" s="178"/>
      <c r="AQ299" s="178"/>
      <c r="AR299" s="178"/>
      <c r="AS299" s="178"/>
      <c r="AT299" s="178"/>
      <c r="AU299" s="178"/>
      <c r="AV299" s="178"/>
      <c r="AW299" s="178"/>
      <c r="AX299" s="178"/>
      <c r="AY299" s="178"/>
      <c r="AZ299" s="178"/>
      <c r="BA299" s="178"/>
      <c r="BB299" s="178"/>
      <c r="BC299" s="178"/>
      <c r="BD299" s="178"/>
      <c r="BE299" s="178"/>
      <c r="BF299" s="178"/>
      <c r="BG299" s="178"/>
      <c r="BH299" s="178"/>
      <c r="BI299" s="178"/>
      <c r="BJ299" s="178"/>
      <c r="BK299" s="178"/>
      <c r="BL299" s="178"/>
      <c r="BM299" s="178"/>
      <c r="BN299" s="178"/>
      <c r="BO299" s="178"/>
      <c r="BP299" s="178"/>
      <c r="BQ299" s="178"/>
      <c r="BR299" s="178"/>
      <c r="BS299" s="178"/>
      <c r="BT299" s="178"/>
      <c r="BU299" s="178"/>
    </row>
    <row r="300" spans="2:73" ht="15" customHeight="1" x14ac:dyDescent="0.25">
      <c r="B300" s="178"/>
      <c r="C300" s="179"/>
      <c r="D300" s="178"/>
      <c r="E300" s="178"/>
      <c r="F300" s="178"/>
      <c r="G300" s="178"/>
      <c r="H300" s="178"/>
      <c r="I300" s="178"/>
      <c r="J300" s="178"/>
      <c r="K300" s="178"/>
      <c r="L300" s="178"/>
      <c r="M300" s="178"/>
      <c r="N300" s="178"/>
      <c r="O300" s="178"/>
      <c r="P300" s="178"/>
      <c r="Q300" s="178"/>
      <c r="R300" s="178"/>
      <c r="S300" s="178"/>
      <c r="T300" s="178"/>
      <c r="U300" s="178"/>
      <c r="V300" s="178"/>
      <c r="W300" s="178"/>
      <c r="X300" s="178"/>
      <c r="Y300" s="178"/>
      <c r="Z300" s="178"/>
      <c r="AA300" s="178"/>
      <c r="AB300" s="178"/>
      <c r="AC300" s="178"/>
      <c r="AD300" s="178"/>
      <c r="AE300" s="178"/>
      <c r="AF300" s="178"/>
      <c r="AG300" s="178"/>
      <c r="AH300" s="178"/>
      <c r="AI300" s="178"/>
      <c r="AJ300" s="178"/>
      <c r="AK300" s="178"/>
      <c r="AL300" s="178"/>
      <c r="AM300" s="178"/>
      <c r="AN300" s="178"/>
      <c r="AO300" s="178"/>
      <c r="AP300" s="178"/>
      <c r="AQ300" s="178"/>
      <c r="AR300" s="178"/>
      <c r="AS300" s="178"/>
      <c r="AT300" s="178"/>
      <c r="AU300" s="178"/>
      <c r="AV300" s="178"/>
      <c r="AW300" s="178"/>
      <c r="AX300" s="178"/>
      <c r="AY300" s="178"/>
      <c r="AZ300" s="178"/>
      <c r="BA300" s="178"/>
      <c r="BB300" s="178"/>
      <c r="BC300" s="178"/>
      <c r="BD300" s="178"/>
      <c r="BE300" s="178"/>
      <c r="BF300" s="178"/>
      <c r="BG300" s="178"/>
      <c r="BH300" s="178"/>
      <c r="BI300" s="178"/>
      <c r="BJ300" s="178"/>
      <c r="BK300" s="178"/>
      <c r="BL300" s="178"/>
      <c r="BM300" s="178"/>
      <c r="BN300" s="178"/>
      <c r="BO300" s="178"/>
      <c r="BP300" s="178"/>
      <c r="BQ300" s="178"/>
      <c r="BR300" s="178"/>
      <c r="BS300" s="178"/>
      <c r="BT300" s="178"/>
      <c r="BU300" s="178"/>
    </row>
    <row r="301" spans="2:73" ht="15" customHeight="1" x14ac:dyDescent="0.25">
      <c r="B301" s="178"/>
      <c r="C301" s="179"/>
      <c r="D301" s="178"/>
      <c r="E301" s="178"/>
      <c r="F301" s="178"/>
      <c r="G301" s="178"/>
      <c r="H301" s="178"/>
      <c r="I301" s="178"/>
      <c r="J301" s="178"/>
      <c r="K301" s="178"/>
      <c r="L301" s="178"/>
      <c r="M301" s="178"/>
      <c r="N301" s="178"/>
      <c r="O301" s="178"/>
      <c r="P301" s="178"/>
      <c r="Q301" s="178"/>
      <c r="R301" s="178"/>
      <c r="S301" s="178"/>
      <c r="T301" s="178"/>
      <c r="U301" s="178"/>
      <c r="V301" s="178"/>
      <c r="W301" s="178"/>
      <c r="X301" s="178"/>
      <c r="Y301" s="178"/>
      <c r="Z301" s="178"/>
      <c r="AA301" s="178"/>
      <c r="AB301" s="178"/>
      <c r="AC301" s="178"/>
      <c r="AD301" s="178"/>
      <c r="AE301" s="178"/>
      <c r="AF301" s="178"/>
      <c r="AG301" s="178"/>
      <c r="AH301" s="178"/>
      <c r="AI301" s="178"/>
      <c r="AJ301" s="178"/>
      <c r="AK301" s="178"/>
      <c r="AL301" s="178"/>
      <c r="AM301" s="178"/>
      <c r="AN301" s="178"/>
      <c r="AO301" s="178"/>
      <c r="AP301" s="178"/>
      <c r="AQ301" s="178"/>
      <c r="AR301" s="178"/>
      <c r="AS301" s="178"/>
      <c r="AT301" s="178"/>
      <c r="AU301" s="178"/>
      <c r="AV301" s="178"/>
      <c r="AW301" s="178"/>
      <c r="AX301" s="178"/>
      <c r="AY301" s="178"/>
      <c r="AZ301" s="178"/>
      <c r="BA301" s="178"/>
      <c r="BB301" s="178"/>
      <c r="BC301" s="178"/>
      <c r="BD301" s="178"/>
      <c r="BE301" s="178"/>
      <c r="BF301" s="178"/>
      <c r="BG301" s="178"/>
      <c r="BH301" s="178"/>
      <c r="BI301" s="178"/>
      <c r="BJ301" s="178"/>
      <c r="BK301" s="178"/>
      <c r="BL301" s="178"/>
      <c r="BM301" s="178"/>
      <c r="BN301" s="178"/>
      <c r="BO301" s="178"/>
      <c r="BP301" s="178"/>
      <c r="BQ301" s="178"/>
      <c r="BR301" s="178"/>
      <c r="BS301" s="178"/>
      <c r="BT301" s="178"/>
      <c r="BU301" s="178"/>
    </row>
    <row r="302" spans="2:73" ht="15" customHeight="1" x14ac:dyDescent="0.25">
      <c r="B302" s="178"/>
      <c r="C302" s="179"/>
      <c r="D302" s="178"/>
      <c r="E302" s="178"/>
      <c r="F302" s="178"/>
      <c r="G302" s="178"/>
      <c r="H302" s="178"/>
      <c r="I302" s="178"/>
      <c r="J302" s="178"/>
      <c r="K302" s="178"/>
      <c r="L302" s="178"/>
      <c r="M302" s="178"/>
      <c r="N302" s="178"/>
      <c r="O302" s="178"/>
      <c r="P302" s="178"/>
      <c r="Q302" s="178"/>
      <c r="R302" s="178"/>
      <c r="S302" s="178"/>
      <c r="T302" s="178"/>
      <c r="U302" s="178"/>
      <c r="V302" s="178"/>
      <c r="W302" s="178"/>
      <c r="X302" s="178"/>
      <c r="Y302" s="178"/>
      <c r="Z302" s="178"/>
      <c r="AA302" s="178"/>
      <c r="AB302" s="178"/>
      <c r="AC302" s="178"/>
      <c r="AD302" s="178"/>
      <c r="AE302" s="178"/>
      <c r="AF302" s="178"/>
      <c r="AG302" s="178"/>
      <c r="AH302" s="178"/>
      <c r="AI302" s="178"/>
      <c r="AJ302" s="178"/>
      <c r="AK302" s="178"/>
      <c r="AL302" s="178"/>
      <c r="AM302" s="178"/>
      <c r="AN302" s="178"/>
      <c r="AO302" s="178"/>
      <c r="AP302" s="178"/>
      <c r="AQ302" s="178"/>
      <c r="AR302" s="178"/>
      <c r="AS302" s="178"/>
      <c r="AT302" s="178"/>
      <c r="AU302" s="178"/>
      <c r="AV302" s="178"/>
      <c r="AW302" s="178"/>
      <c r="AX302" s="178"/>
      <c r="AY302" s="178"/>
      <c r="AZ302" s="178"/>
      <c r="BA302" s="178"/>
      <c r="BB302" s="178"/>
      <c r="BC302" s="178"/>
      <c r="BD302" s="178"/>
      <c r="BE302" s="178"/>
      <c r="BF302" s="178"/>
      <c r="BG302" s="178"/>
      <c r="BH302" s="178"/>
      <c r="BI302" s="178"/>
      <c r="BJ302" s="178"/>
      <c r="BK302" s="178"/>
      <c r="BL302" s="178"/>
      <c r="BM302" s="178"/>
      <c r="BN302" s="178"/>
      <c r="BO302" s="178"/>
      <c r="BP302" s="178"/>
      <c r="BQ302" s="178"/>
      <c r="BR302" s="178"/>
      <c r="BS302" s="178"/>
      <c r="BT302" s="178"/>
      <c r="BU302" s="178"/>
    </row>
    <row r="303" spans="2:73" ht="15" customHeight="1" x14ac:dyDescent="0.25">
      <c r="B303" s="178"/>
      <c r="C303" s="179"/>
      <c r="D303" s="178"/>
      <c r="E303" s="178"/>
      <c r="F303" s="178"/>
      <c r="G303" s="178"/>
      <c r="H303" s="178"/>
      <c r="I303" s="178"/>
      <c r="J303" s="178"/>
      <c r="K303" s="178"/>
      <c r="L303" s="178"/>
      <c r="M303" s="178"/>
      <c r="N303" s="178"/>
      <c r="O303" s="178"/>
      <c r="P303" s="178"/>
      <c r="Q303" s="178"/>
      <c r="R303" s="178"/>
      <c r="S303" s="178"/>
      <c r="T303" s="178"/>
      <c r="U303" s="178"/>
      <c r="V303" s="178"/>
      <c r="W303" s="178"/>
      <c r="X303" s="178"/>
      <c r="Y303" s="178"/>
      <c r="Z303" s="178"/>
      <c r="AA303" s="178"/>
      <c r="AB303" s="178"/>
      <c r="AC303" s="178"/>
      <c r="AD303" s="178"/>
      <c r="AE303" s="178"/>
      <c r="AF303" s="178"/>
      <c r="AG303" s="178"/>
      <c r="AH303" s="178"/>
      <c r="AI303" s="178"/>
      <c r="AJ303" s="178"/>
      <c r="AK303" s="178"/>
      <c r="AL303" s="178"/>
      <c r="AM303" s="178"/>
      <c r="AN303" s="178"/>
      <c r="AO303" s="178"/>
      <c r="AP303" s="178"/>
      <c r="AQ303" s="178"/>
      <c r="AR303" s="178"/>
      <c r="AS303" s="178"/>
      <c r="AT303" s="178"/>
      <c r="AU303" s="178"/>
      <c r="AV303" s="178"/>
      <c r="AW303" s="178"/>
      <c r="AX303" s="178"/>
      <c r="AY303" s="178"/>
      <c r="AZ303" s="178"/>
      <c r="BA303" s="178"/>
      <c r="BB303" s="178"/>
      <c r="BC303" s="178"/>
      <c r="BD303" s="178"/>
      <c r="BE303" s="178"/>
      <c r="BF303" s="178"/>
      <c r="BG303" s="178"/>
      <c r="BH303" s="178"/>
      <c r="BI303" s="178"/>
      <c r="BJ303" s="178"/>
      <c r="BK303" s="178"/>
      <c r="BL303" s="178"/>
      <c r="BM303" s="178"/>
      <c r="BN303" s="178"/>
      <c r="BO303" s="178"/>
      <c r="BP303" s="178"/>
      <c r="BQ303" s="178"/>
      <c r="BR303" s="178"/>
      <c r="BS303" s="178"/>
      <c r="BT303" s="178"/>
      <c r="BU303" s="178"/>
    </row>
    <row r="304" spans="2:73" ht="15" customHeight="1" x14ac:dyDescent="0.25">
      <c r="B304" s="178"/>
      <c r="C304" s="179"/>
      <c r="D304" s="178"/>
      <c r="E304" s="178"/>
      <c r="F304" s="178"/>
      <c r="G304" s="178"/>
      <c r="H304" s="178"/>
      <c r="I304" s="178"/>
      <c r="J304" s="178"/>
      <c r="K304" s="178"/>
      <c r="L304" s="178"/>
      <c r="M304" s="178"/>
      <c r="N304" s="178"/>
      <c r="O304" s="178"/>
      <c r="P304" s="178"/>
      <c r="Q304" s="178"/>
      <c r="R304" s="178"/>
      <c r="S304" s="178"/>
      <c r="T304" s="178"/>
      <c r="U304" s="178"/>
      <c r="V304" s="178"/>
      <c r="W304" s="178"/>
      <c r="X304" s="178"/>
      <c r="Y304" s="178"/>
      <c r="Z304" s="178"/>
      <c r="AA304" s="178"/>
      <c r="AB304" s="178"/>
      <c r="AC304" s="178"/>
      <c r="AD304" s="178"/>
      <c r="AE304" s="178"/>
      <c r="AF304" s="178"/>
      <c r="AG304" s="178"/>
      <c r="AH304" s="178"/>
      <c r="AI304" s="178"/>
      <c r="AJ304" s="178"/>
      <c r="AK304" s="178"/>
      <c r="AL304" s="178"/>
      <c r="AM304" s="178"/>
      <c r="AN304" s="178"/>
      <c r="AO304" s="178"/>
      <c r="AP304" s="178"/>
      <c r="AQ304" s="178"/>
      <c r="AR304" s="178"/>
      <c r="AS304" s="178"/>
      <c r="AT304" s="178"/>
      <c r="AU304" s="178"/>
      <c r="AV304" s="178"/>
      <c r="AW304" s="178"/>
      <c r="AX304" s="178"/>
      <c r="AY304" s="178"/>
      <c r="AZ304" s="178"/>
      <c r="BA304" s="178"/>
      <c r="BB304" s="178"/>
      <c r="BC304" s="178"/>
      <c r="BD304" s="178"/>
      <c r="BE304" s="178"/>
      <c r="BF304" s="178"/>
      <c r="BG304" s="178"/>
      <c r="BH304" s="178"/>
      <c r="BI304" s="178"/>
      <c r="BJ304" s="178"/>
      <c r="BK304" s="178"/>
      <c r="BL304" s="178"/>
      <c r="BM304" s="178"/>
      <c r="BN304" s="178"/>
      <c r="BO304" s="178"/>
      <c r="BP304" s="178"/>
      <c r="BQ304" s="178"/>
      <c r="BR304" s="178"/>
      <c r="BS304" s="178"/>
      <c r="BT304" s="178"/>
      <c r="BU304" s="178"/>
    </row>
    <row r="305" spans="2:73" ht="15" customHeight="1" x14ac:dyDescent="0.25">
      <c r="B305" s="178"/>
      <c r="C305" s="179"/>
      <c r="D305" s="178"/>
      <c r="E305" s="178"/>
      <c r="F305" s="178"/>
      <c r="G305" s="178"/>
      <c r="H305" s="178"/>
      <c r="I305" s="178"/>
      <c r="J305" s="178"/>
      <c r="K305" s="178"/>
      <c r="L305" s="178"/>
      <c r="M305" s="178"/>
      <c r="N305" s="178"/>
      <c r="O305" s="178"/>
      <c r="P305" s="178"/>
      <c r="Q305" s="178"/>
      <c r="R305" s="178"/>
      <c r="S305" s="178"/>
      <c r="T305" s="178"/>
      <c r="U305" s="178"/>
      <c r="V305" s="178"/>
      <c r="W305" s="178"/>
      <c r="X305" s="178"/>
      <c r="Y305" s="178"/>
      <c r="Z305" s="178"/>
      <c r="AA305" s="178"/>
      <c r="AB305" s="178"/>
      <c r="AC305" s="178"/>
      <c r="AD305" s="178"/>
      <c r="AE305" s="178"/>
      <c r="AF305" s="178"/>
      <c r="AG305" s="178"/>
      <c r="AH305" s="178"/>
      <c r="AI305" s="178"/>
      <c r="AJ305" s="178"/>
      <c r="AK305" s="178"/>
      <c r="AL305" s="178"/>
      <c r="AM305" s="178"/>
      <c r="AN305" s="178"/>
      <c r="AO305" s="178"/>
      <c r="AP305" s="178"/>
      <c r="AQ305" s="178"/>
      <c r="AR305" s="178"/>
      <c r="AS305" s="178"/>
      <c r="AT305" s="178"/>
      <c r="AU305" s="178"/>
      <c r="AV305" s="178"/>
      <c r="AW305" s="178"/>
      <c r="AX305" s="178"/>
      <c r="AY305" s="178"/>
      <c r="AZ305" s="178"/>
      <c r="BA305" s="178"/>
      <c r="BB305" s="178"/>
      <c r="BC305" s="178"/>
      <c r="BD305" s="178"/>
      <c r="BE305" s="178"/>
      <c r="BF305" s="178"/>
      <c r="BG305" s="178"/>
      <c r="BH305" s="178"/>
      <c r="BI305" s="178"/>
      <c r="BJ305" s="178"/>
      <c r="BK305" s="178"/>
      <c r="BL305" s="178"/>
      <c r="BM305" s="178"/>
      <c r="BN305" s="178"/>
      <c r="BO305" s="178"/>
      <c r="BP305" s="178"/>
      <c r="BQ305" s="178"/>
      <c r="BR305" s="178"/>
      <c r="BS305" s="178"/>
      <c r="BT305" s="178"/>
      <c r="BU305" s="178"/>
    </row>
    <row r="306" spans="2:73" ht="15" customHeight="1" x14ac:dyDescent="0.25">
      <c r="B306" s="178"/>
      <c r="C306" s="179"/>
      <c r="D306" s="178"/>
      <c r="E306" s="178"/>
      <c r="F306" s="178"/>
      <c r="G306" s="178"/>
      <c r="H306" s="178"/>
      <c r="I306" s="178"/>
      <c r="J306" s="178"/>
      <c r="K306" s="178"/>
      <c r="L306" s="178"/>
      <c r="M306" s="178"/>
      <c r="N306" s="178"/>
      <c r="O306" s="178"/>
      <c r="P306" s="178"/>
      <c r="Q306" s="178"/>
      <c r="R306" s="178"/>
      <c r="S306" s="178"/>
      <c r="T306" s="178"/>
      <c r="U306" s="178"/>
      <c r="V306" s="178"/>
      <c r="W306" s="178"/>
      <c r="X306" s="178"/>
      <c r="Y306" s="178"/>
      <c r="Z306" s="178"/>
      <c r="AA306" s="178"/>
      <c r="AB306" s="178"/>
      <c r="AC306" s="178"/>
      <c r="AD306" s="178"/>
      <c r="AE306" s="178"/>
      <c r="AF306" s="178"/>
      <c r="AG306" s="178"/>
      <c r="AH306" s="178"/>
      <c r="AI306" s="178"/>
      <c r="AJ306" s="178"/>
      <c r="AK306" s="178"/>
      <c r="AL306" s="178"/>
      <c r="AM306" s="178"/>
      <c r="AN306" s="178"/>
      <c r="AO306" s="178"/>
      <c r="AP306" s="178"/>
      <c r="AQ306" s="178"/>
      <c r="AR306" s="178"/>
      <c r="AS306" s="178"/>
      <c r="AT306" s="178"/>
      <c r="AU306" s="178"/>
      <c r="AV306" s="178"/>
      <c r="AW306" s="178"/>
      <c r="AX306" s="178"/>
      <c r="AY306" s="178"/>
      <c r="AZ306" s="178"/>
      <c r="BA306" s="178"/>
      <c r="BB306" s="178"/>
      <c r="BC306" s="178"/>
      <c r="BD306" s="178"/>
      <c r="BE306" s="178"/>
      <c r="BF306" s="178"/>
      <c r="BG306" s="178"/>
      <c r="BH306" s="178"/>
      <c r="BI306" s="178"/>
      <c r="BJ306" s="178"/>
      <c r="BK306" s="178"/>
      <c r="BL306" s="178"/>
      <c r="BM306" s="178"/>
      <c r="BN306" s="178"/>
      <c r="BO306" s="178"/>
      <c r="BP306" s="178"/>
      <c r="BQ306" s="178"/>
      <c r="BR306" s="178"/>
      <c r="BS306" s="178"/>
      <c r="BT306" s="178"/>
      <c r="BU306" s="178"/>
    </row>
    <row r="307" spans="2:73" ht="15" customHeight="1" x14ac:dyDescent="0.25">
      <c r="B307" s="178"/>
      <c r="C307" s="179"/>
      <c r="D307" s="178"/>
      <c r="E307" s="178"/>
      <c r="F307" s="178"/>
      <c r="G307" s="178"/>
      <c r="H307" s="178"/>
      <c r="I307" s="178"/>
      <c r="J307" s="178"/>
      <c r="K307" s="178"/>
      <c r="L307" s="178"/>
      <c r="M307" s="178"/>
      <c r="N307" s="178"/>
      <c r="O307" s="178"/>
      <c r="P307" s="178"/>
      <c r="Q307" s="178"/>
      <c r="R307" s="178"/>
      <c r="S307" s="178"/>
      <c r="T307" s="178"/>
      <c r="U307" s="178"/>
      <c r="V307" s="178"/>
      <c r="W307" s="178"/>
      <c r="X307" s="178"/>
      <c r="Y307" s="178"/>
      <c r="Z307" s="178"/>
      <c r="AA307" s="178"/>
      <c r="AB307" s="178"/>
      <c r="AC307" s="178"/>
      <c r="AD307" s="178"/>
      <c r="AE307" s="178"/>
      <c r="AF307" s="178"/>
      <c r="AG307" s="178"/>
      <c r="AH307" s="178"/>
      <c r="AI307" s="178"/>
      <c r="AJ307" s="178"/>
      <c r="AK307" s="178"/>
      <c r="AL307" s="178"/>
      <c r="AM307" s="178"/>
      <c r="AN307" s="178"/>
      <c r="AO307" s="178"/>
      <c r="AP307" s="178"/>
      <c r="AQ307" s="178"/>
      <c r="AR307" s="178"/>
      <c r="AS307" s="178"/>
      <c r="AT307" s="178"/>
      <c r="AU307" s="178"/>
      <c r="AV307" s="178"/>
      <c r="AW307" s="178"/>
      <c r="AX307" s="178"/>
      <c r="AY307" s="178"/>
      <c r="AZ307" s="178"/>
      <c r="BA307" s="178"/>
      <c r="BB307" s="178"/>
      <c r="BC307" s="178"/>
      <c r="BD307" s="178"/>
      <c r="BE307" s="178"/>
      <c r="BF307" s="178"/>
      <c r="BG307" s="178"/>
      <c r="BH307" s="178"/>
      <c r="BI307" s="178"/>
      <c r="BJ307" s="178"/>
      <c r="BK307" s="178"/>
      <c r="BL307" s="178"/>
      <c r="BM307" s="178"/>
      <c r="BN307" s="178"/>
      <c r="BO307" s="178"/>
      <c r="BP307" s="178"/>
      <c r="BQ307" s="178"/>
      <c r="BR307" s="178"/>
      <c r="BS307" s="178"/>
      <c r="BT307" s="178"/>
      <c r="BU307" s="178"/>
    </row>
    <row r="308" spans="2:73" ht="15" customHeight="1" x14ac:dyDescent="0.25">
      <c r="B308" s="178"/>
      <c r="C308" s="179"/>
      <c r="D308" s="178"/>
      <c r="E308" s="178"/>
      <c r="F308" s="178"/>
      <c r="G308" s="178"/>
      <c r="H308" s="178"/>
      <c r="I308" s="178"/>
      <c r="J308" s="178"/>
      <c r="K308" s="178"/>
      <c r="L308" s="178"/>
      <c r="M308" s="178"/>
      <c r="N308" s="178"/>
      <c r="O308" s="178"/>
      <c r="P308" s="178"/>
      <c r="Q308" s="178"/>
      <c r="R308" s="178"/>
      <c r="S308" s="178"/>
      <c r="T308" s="178"/>
      <c r="U308" s="178"/>
      <c r="V308" s="178"/>
      <c r="W308" s="178"/>
      <c r="X308" s="178"/>
      <c r="Y308" s="178"/>
      <c r="Z308" s="178"/>
      <c r="AA308" s="178"/>
      <c r="AB308" s="178"/>
      <c r="AC308" s="178"/>
      <c r="AD308" s="178"/>
      <c r="AE308" s="178"/>
      <c r="AF308" s="178"/>
      <c r="AG308" s="178"/>
      <c r="AH308" s="178"/>
      <c r="AI308" s="178"/>
      <c r="AJ308" s="178"/>
      <c r="AK308" s="178"/>
      <c r="AL308" s="178"/>
      <c r="AM308" s="178"/>
      <c r="AN308" s="178"/>
      <c r="AO308" s="178"/>
      <c r="AP308" s="178"/>
      <c r="AQ308" s="178"/>
      <c r="AR308" s="178"/>
      <c r="AS308" s="178"/>
      <c r="AT308" s="178"/>
      <c r="AU308" s="178"/>
      <c r="AV308" s="178"/>
      <c r="AW308" s="178"/>
      <c r="AX308" s="178"/>
      <c r="AY308" s="178"/>
      <c r="AZ308" s="178"/>
      <c r="BA308" s="178"/>
      <c r="BB308" s="178"/>
      <c r="BC308" s="178"/>
      <c r="BD308" s="178"/>
      <c r="BE308" s="178"/>
      <c r="BF308" s="178"/>
      <c r="BG308" s="178"/>
      <c r="BH308" s="178"/>
      <c r="BI308" s="178"/>
      <c r="BJ308" s="178"/>
      <c r="BK308" s="178"/>
      <c r="BL308" s="178"/>
      <c r="BM308" s="178"/>
      <c r="BN308" s="178"/>
      <c r="BO308" s="178"/>
      <c r="BP308" s="178"/>
      <c r="BQ308" s="178"/>
      <c r="BR308" s="178"/>
      <c r="BS308" s="178"/>
      <c r="BT308" s="178"/>
      <c r="BU308" s="178"/>
    </row>
    <row r="309" spans="2:73" ht="15" customHeight="1" x14ac:dyDescent="0.25">
      <c r="B309" s="178"/>
      <c r="C309" s="179"/>
      <c r="D309" s="178"/>
      <c r="E309" s="178"/>
      <c r="F309" s="178"/>
      <c r="G309" s="178"/>
      <c r="H309" s="178"/>
      <c r="I309" s="178"/>
      <c r="J309" s="178"/>
      <c r="K309" s="178"/>
      <c r="L309" s="178"/>
      <c r="M309" s="178"/>
      <c r="N309" s="178"/>
      <c r="O309" s="178"/>
      <c r="P309" s="178"/>
      <c r="Q309" s="178"/>
      <c r="R309" s="178"/>
      <c r="S309" s="178"/>
      <c r="T309" s="178"/>
      <c r="U309" s="178"/>
      <c r="V309" s="178"/>
      <c r="W309" s="178"/>
      <c r="X309" s="178"/>
      <c r="Y309" s="178"/>
      <c r="Z309" s="178"/>
      <c r="AA309" s="178"/>
      <c r="AB309" s="178"/>
      <c r="AC309" s="178"/>
      <c r="AD309" s="178"/>
      <c r="AE309" s="178"/>
      <c r="AF309" s="178"/>
      <c r="AG309" s="178"/>
      <c r="AH309" s="178"/>
      <c r="AI309" s="178"/>
      <c r="AJ309" s="178"/>
      <c r="AK309" s="178"/>
      <c r="AL309" s="178"/>
      <c r="AM309" s="178"/>
      <c r="AN309" s="178"/>
      <c r="AO309" s="178"/>
      <c r="AP309" s="178"/>
      <c r="AQ309" s="178"/>
      <c r="AR309" s="178"/>
      <c r="AS309" s="178"/>
      <c r="AT309" s="178"/>
      <c r="AU309" s="178"/>
      <c r="AV309" s="178"/>
      <c r="AW309" s="178"/>
      <c r="AX309" s="178"/>
      <c r="AY309" s="178"/>
      <c r="AZ309" s="178"/>
      <c r="BA309" s="178"/>
      <c r="BB309" s="178"/>
      <c r="BC309" s="178"/>
      <c r="BD309" s="178"/>
      <c r="BE309" s="178"/>
      <c r="BF309" s="178"/>
      <c r="BG309" s="178"/>
      <c r="BH309" s="178"/>
      <c r="BI309" s="178"/>
      <c r="BJ309" s="178"/>
      <c r="BK309" s="178"/>
      <c r="BL309" s="178"/>
      <c r="BM309" s="178"/>
      <c r="BN309" s="178"/>
      <c r="BO309" s="178"/>
      <c r="BP309" s="178"/>
      <c r="BQ309" s="178"/>
      <c r="BR309" s="178"/>
      <c r="BS309" s="178"/>
      <c r="BT309" s="178"/>
      <c r="BU309" s="178"/>
    </row>
    <row r="310" spans="2:73" ht="15" customHeight="1" x14ac:dyDescent="0.25">
      <c r="B310" s="178"/>
      <c r="C310" s="179"/>
      <c r="D310" s="178"/>
      <c r="E310" s="178"/>
      <c r="F310" s="178"/>
      <c r="G310" s="178"/>
      <c r="H310" s="178"/>
      <c r="I310" s="178"/>
      <c r="J310" s="178"/>
      <c r="K310" s="178"/>
      <c r="L310" s="178"/>
      <c r="M310" s="178"/>
      <c r="N310" s="178"/>
      <c r="O310" s="178"/>
      <c r="P310" s="178"/>
      <c r="Q310" s="178"/>
      <c r="R310" s="178"/>
      <c r="S310" s="178"/>
      <c r="T310" s="178"/>
      <c r="U310" s="178"/>
      <c r="V310" s="178"/>
      <c r="W310" s="178"/>
      <c r="X310" s="178"/>
      <c r="Y310" s="178"/>
      <c r="Z310" s="178"/>
      <c r="AA310" s="178"/>
      <c r="AB310" s="178"/>
      <c r="AC310" s="178"/>
      <c r="AD310" s="178"/>
      <c r="AE310" s="178"/>
      <c r="AF310" s="178"/>
      <c r="AG310" s="178"/>
      <c r="AH310" s="178"/>
      <c r="AI310" s="178"/>
      <c r="AJ310" s="178"/>
      <c r="AK310" s="178"/>
      <c r="AL310" s="178"/>
      <c r="AM310" s="178"/>
      <c r="AN310" s="178"/>
      <c r="AO310" s="178"/>
      <c r="AP310" s="178"/>
      <c r="AQ310" s="178"/>
      <c r="AR310" s="178"/>
      <c r="AS310" s="178"/>
      <c r="AT310" s="178"/>
      <c r="AU310" s="178"/>
      <c r="AV310" s="178"/>
      <c r="AW310" s="178"/>
      <c r="AX310" s="178"/>
      <c r="AY310" s="178"/>
      <c r="AZ310" s="178"/>
      <c r="BA310" s="178"/>
      <c r="BB310" s="178"/>
      <c r="BC310" s="178"/>
      <c r="BD310" s="178"/>
      <c r="BE310" s="178"/>
      <c r="BF310" s="178"/>
      <c r="BG310" s="178"/>
      <c r="BH310" s="178"/>
      <c r="BI310" s="178"/>
      <c r="BJ310" s="178"/>
      <c r="BK310" s="178"/>
      <c r="BL310" s="178"/>
      <c r="BM310" s="178"/>
      <c r="BN310" s="178"/>
      <c r="BO310" s="178"/>
      <c r="BP310" s="178"/>
      <c r="BQ310" s="178"/>
      <c r="BR310" s="178"/>
      <c r="BS310" s="178"/>
      <c r="BT310" s="178"/>
      <c r="BU310" s="178"/>
    </row>
    <row r="311" spans="2:73" ht="15" customHeight="1" x14ac:dyDescent="0.25">
      <c r="B311" s="178"/>
      <c r="C311" s="179"/>
      <c r="D311" s="178"/>
      <c r="E311" s="178"/>
      <c r="F311" s="178"/>
      <c r="G311" s="178"/>
      <c r="H311" s="178"/>
      <c r="I311" s="178"/>
      <c r="J311" s="178"/>
      <c r="K311" s="178"/>
      <c r="L311" s="178"/>
      <c r="M311" s="178"/>
      <c r="N311" s="178"/>
      <c r="O311" s="178"/>
      <c r="P311" s="178"/>
      <c r="Q311" s="178"/>
      <c r="R311" s="178"/>
      <c r="S311" s="178"/>
      <c r="T311" s="178"/>
      <c r="U311" s="178"/>
      <c r="V311" s="178"/>
      <c r="W311" s="178"/>
      <c r="X311" s="178"/>
      <c r="Y311" s="178"/>
      <c r="Z311" s="178"/>
      <c r="AA311" s="178"/>
      <c r="AB311" s="178"/>
      <c r="AC311" s="178"/>
      <c r="AD311" s="178"/>
      <c r="AE311" s="178"/>
      <c r="AF311" s="178"/>
      <c r="AG311" s="178"/>
      <c r="AH311" s="178"/>
      <c r="AI311" s="178"/>
      <c r="AJ311" s="178"/>
      <c r="AK311" s="178"/>
      <c r="AL311" s="178"/>
      <c r="AM311" s="178"/>
      <c r="AN311" s="178"/>
      <c r="AO311" s="178"/>
      <c r="AP311" s="178"/>
      <c r="AQ311" s="178"/>
      <c r="AR311" s="178"/>
      <c r="AS311" s="178"/>
      <c r="AT311" s="178"/>
      <c r="AU311" s="178"/>
      <c r="AV311" s="178"/>
      <c r="AW311" s="178"/>
      <c r="AX311" s="178"/>
      <c r="AY311" s="178"/>
      <c r="AZ311" s="178"/>
      <c r="BA311" s="178"/>
      <c r="BB311" s="178"/>
      <c r="BC311" s="178"/>
      <c r="BD311" s="178"/>
      <c r="BE311" s="178"/>
      <c r="BF311" s="178"/>
      <c r="BG311" s="178"/>
      <c r="BH311" s="178"/>
      <c r="BI311" s="178"/>
      <c r="BJ311" s="178"/>
      <c r="BK311" s="178"/>
      <c r="BL311" s="178"/>
      <c r="BM311" s="178"/>
      <c r="BN311" s="178"/>
      <c r="BO311" s="178"/>
      <c r="BP311" s="178"/>
      <c r="BQ311" s="178"/>
      <c r="BR311" s="178"/>
      <c r="BS311" s="178"/>
      <c r="BT311" s="178"/>
      <c r="BU311" s="178"/>
    </row>
    <row r="312" spans="2:73" ht="15" customHeight="1" x14ac:dyDescent="0.25">
      <c r="B312" s="178"/>
      <c r="C312" s="179"/>
      <c r="D312" s="178"/>
      <c r="E312" s="178"/>
      <c r="F312" s="178"/>
      <c r="G312" s="178"/>
      <c r="H312" s="178"/>
      <c r="I312" s="178"/>
      <c r="J312" s="178"/>
      <c r="K312" s="178"/>
      <c r="L312" s="178"/>
      <c r="M312" s="178"/>
      <c r="N312" s="178"/>
      <c r="O312" s="178"/>
      <c r="P312" s="178"/>
      <c r="Q312" s="178"/>
      <c r="R312" s="178"/>
      <c r="S312" s="178"/>
      <c r="T312" s="178"/>
      <c r="U312" s="178"/>
      <c r="V312" s="178"/>
      <c r="W312" s="178"/>
      <c r="X312" s="178"/>
      <c r="Y312" s="178"/>
      <c r="Z312" s="178"/>
      <c r="AA312" s="178"/>
      <c r="AB312" s="178"/>
      <c r="AC312" s="178"/>
      <c r="AD312" s="178"/>
      <c r="AE312" s="178"/>
      <c r="AF312" s="178"/>
      <c r="AG312" s="178"/>
      <c r="AH312" s="178"/>
      <c r="AI312" s="178"/>
      <c r="AJ312" s="178"/>
      <c r="AK312" s="178"/>
      <c r="AL312" s="178"/>
      <c r="AM312" s="178"/>
      <c r="AN312" s="178"/>
      <c r="AO312" s="178"/>
      <c r="AP312" s="178"/>
      <c r="AQ312" s="178"/>
      <c r="AR312" s="178"/>
      <c r="AS312" s="178"/>
      <c r="AT312" s="178"/>
      <c r="AU312" s="178"/>
      <c r="AV312" s="178"/>
      <c r="AW312" s="178"/>
      <c r="AX312" s="178"/>
      <c r="AY312" s="178"/>
      <c r="AZ312" s="178"/>
      <c r="BA312" s="178"/>
      <c r="BB312" s="178"/>
      <c r="BC312" s="178"/>
      <c r="BD312" s="178"/>
      <c r="BE312" s="178"/>
      <c r="BF312" s="178"/>
      <c r="BG312" s="178"/>
      <c r="BH312" s="178"/>
      <c r="BI312" s="178"/>
      <c r="BJ312" s="178"/>
      <c r="BK312" s="178"/>
      <c r="BL312" s="178"/>
      <c r="BM312" s="178"/>
      <c r="BN312" s="178"/>
      <c r="BO312" s="178"/>
      <c r="BP312" s="178"/>
      <c r="BQ312" s="178"/>
      <c r="BR312" s="178"/>
      <c r="BS312" s="178"/>
      <c r="BT312" s="178"/>
      <c r="BU312" s="178"/>
    </row>
    <row r="313" spans="2:73" ht="15" customHeight="1" x14ac:dyDescent="0.25">
      <c r="B313" s="178"/>
      <c r="C313" s="179"/>
      <c r="D313" s="178"/>
      <c r="E313" s="178"/>
      <c r="F313" s="178"/>
      <c r="G313" s="178"/>
      <c r="H313" s="178"/>
      <c r="I313" s="178"/>
      <c r="J313" s="178"/>
      <c r="K313" s="178"/>
      <c r="L313" s="178"/>
      <c r="M313" s="178"/>
      <c r="N313" s="178"/>
      <c r="O313" s="178"/>
      <c r="P313" s="178"/>
      <c r="Q313" s="178"/>
      <c r="R313" s="178"/>
      <c r="S313" s="178"/>
      <c r="T313" s="178"/>
      <c r="U313" s="178"/>
      <c r="V313" s="178"/>
      <c r="W313" s="178"/>
      <c r="X313" s="178"/>
      <c r="Y313" s="178"/>
      <c r="Z313" s="178"/>
      <c r="AA313" s="178"/>
      <c r="AB313" s="178"/>
      <c r="AC313" s="178"/>
      <c r="AD313" s="178"/>
      <c r="AE313" s="178"/>
      <c r="AF313" s="178"/>
      <c r="AG313" s="178"/>
      <c r="AH313" s="178"/>
      <c r="AI313" s="178"/>
      <c r="AJ313" s="178"/>
      <c r="AK313" s="178"/>
      <c r="AL313" s="178"/>
      <c r="AM313" s="178"/>
      <c r="AN313" s="178"/>
      <c r="AO313" s="178"/>
      <c r="AP313" s="178"/>
      <c r="AQ313" s="178"/>
      <c r="AR313" s="178"/>
      <c r="AS313" s="178"/>
      <c r="AT313" s="178"/>
      <c r="AU313" s="178"/>
      <c r="AV313" s="178"/>
      <c r="AW313" s="178"/>
      <c r="AX313" s="178"/>
      <c r="AY313" s="178"/>
      <c r="AZ313" s="178"/>
      <c r="BA313" s="178"/>
      <c r="BB313" s="178"/>
      <c r="BC313" s="178"/>
      <c r="BD313" s="178"/>
      <c r="BE313" s="178"/>
      <c r="BF313" s="178"/>
      <c r="BG313" s="178"/>
      <c r="BH313" s="178"/>
      <c r="BI313" s="178"/>
      <c r="BJ313" s="178"/>
      <c r="BK313" s="178"/>
      <c r="BL313" s="178"/>
      <c r="BM313" s="178"/>
      <c r="BN313" s="178"/>
      <c r="BO313" s="178"/>
      <c r="BP313" s="178"/>
      <c r="BQ313" s="178"/>
      <c r="BR313" s="178"/>
      <c r="BS313" s="178"/>
      <c r="BT313" s="178"/>
      <c r="BU313" s="178"/>
    </row>
    <row r="314" spans="2:73" ht="15" customHeight="1" x14ac:dyDescent="0.25">
      <c r="B314" s="178"/>
      <c r="C314" s="179"/>
      <c r="D314" s="178"/>
      <c r="E314" s="178"/>
      <c r="F314" s="178"/>
      <c r="G314" s="178"/>
      <c r="H314" s="178"/>
      <c r="I314" s="178"/>
      <c r="J314" s="178"/>
      <c r="K314" s="178"/>
      <c r="L314" s="178"/>
      <c r="M314" s="178"/>
      <c r="N314" s="178"/>
      <c r="O314" s="178"/>
      <c r="P314" s="178"/>
      <c r="Q314" s="178"/>
      <c r="R314" s="178"/>
      <c r="S314" s="178"/>
      <c r="T314" s="178"/>
      <c r="U314" s="178"/>
      <c r="V314" s="178"/>
      <c r="W314" s="178"/>
      <c r="X314" s="178"/>
      <c r="Y314" s="178"/>
      <c r="Z314" s="178"/>
      <c r="AA314" s="178"/>
      <c r="AB314" s="178"/>
      <c r="AC314" s="178"/>
      <c r="AD314" s="178"/>
      <c r="AE314" s="178"/>
      <c r="AF314" s="178"/>
      <c r="AG314" s="178"/>
      <c r="AH314" s="178"/>
      <c r="AI314" s="178"/>
      <c r="AJ314" s="178"/>
      <c r="AK314" s="178"/>
      <c r="AL314" s="178"/>
      <c r="AM314" s="178"/>
      <c r="AN314" s="178"/>
      <c r="AO314" s="178"/>
      <c r="AP314" s="178"/>
      <c r="AQ314" s="178"/>
      <c r="AR314" s="178"/>
      <c r="AS314" s="178"/>
      <c r="AT314" s="178"/>
      <c r="AU314" s="178"/>
      <c r="AV314" s="178"/>
      <c r="AW314" s="178"/>
      <c r="AX314" s="178"/>
      <c r="AY314" s="178"/>
      <c r="AZ314" s="178"/>
      <c r="BA314" s="178"/>
      <c r="BB314" s="178"/>
      <c r="BC314" s="178"/>
      <c r="BD314" s="178"/>
      <c r="BE314" s="178"/>
      <c r="BF314" s="178"/>
      <c r="BG314" s="178"/>
      <c r="BH314" s="178"/>
      <c r="BI314" s="178"/>
      <c r="BJ314" s="178"/>
      <c r="BK314" s="178"/>
      <c r="BL314" s="178"/>
      <c r="BM314" s="178"/>
      <c r="BN314" s="178"/>
      <c r="BO314" s="178"/>
      <c r="BP314" s="178"/>
      <c r="BQ314" s="178"/>
      <c r="BR314" s="178"/>
      <c r="BS314" s="178"/>
      <c r="BT314" s="178"/>
      <c r="BU314" s="178"/>
    </row>
    <row r="315" spans="2:73" ht="15" customHeight="1" x14ac:dyDescent="0.25">
      <c r="B315" s="178"/>
      <c r="C315" s="179"/>
      <c r="D315" s="178"/>
      <c r="E315" s="178"/>
      <c r="F315" s="178"/>
      <c r="G315" s="178"/>
      <c r="H315" s="178"/>
      <c r="I315" s="178"/>
      <c r="J315" s="178"/>
      <c r="K315" s="178"/>
      <c r="L315" s="178"/>
      <c r="M315" s="178"/>
      <c r="N315" s="178"/>
      <c r="O315" s="178"/>
      <c r="P315" s="178"/>
      <c r="Q315" s="178"/>
      <c r="R315" s="178"/>
      <c r="S315" s="178"/>
      <c r="T315" s="178"/>
      <c r="U315" s="178"/>
      <c r="V315" s="178"/>
      <c r="W315" s="178"/>
      <c r="X315" s="178"/>
      <c r="Y315" s="178"/>
      <c r="Z315" s="178"/>
      <c r="AA315" s="178"/>
      <c r="AB315" s="178"/>
      <c r="AC315" s="178"/>
      <c r="AD315" s="178"/>
      <c r="AE315" s="178"/>
      <c r="AF315" s="178"/>
      <c r="AG315" s="178"/>
      <c r="AH315" s="178"/>
      <c r="AI315" s="178"/>
      <c r="AJ315" s="178"/>
      <c r="AK315" s="178"/>
      <c r="AL315" s="178"/>
      <c r="AM315" s="178"/>
      <c r="AN315" s="178"/>
      <c r="AO315" s="178"/>
      <c r="AP315" s="178"/>
      <c r="AQ315" s="178"/>
      <c r="AR315" s="178"/>
      <c r="AS315" s="178"/>
      <c r="AT315" s="178"/>
      <c r="AU315" s="178"/>
      <c r="AV315" s="178"/>
      <c r="AW315" s="178"/>
      <c r="AX315" s="178"/>
      <c r="AY315" s="178"/>
      <c r="AZ315" s="178"/>
      <c r="BA315" s="178"/>
      <c r="BB315" s="178"/>
      <c r="BC315" s="178"/>
      <c r="BD315" s="178"/>
      <c r="BE315" s="178"/>
      <c r="BF315" s="178"/>
      <c r="BG315" s="178"/>
      <c r="BH315" s="178"/>
      <c r="BI315" s="178"/>
      <c r="BJ315" s="178"/>
      <c r="BK315" s="178"/>
      <c r="BL315" s="178"/>
      <c r="BM315" s="178"/>
      <c r="BN315" s="178"/>
      <c r="BO315" s="178"/>
      <c r="BP315" s="178"/>
      <c r="BQ315" s="178"/>
      <c r="BR315" s="178"/>
      <c r="BS315" s="178"/>
      <c r="BT315" s="178"/>
      <c r="BU315" s="178"/>
    </row>
    <row r="316" spans="2:73" ht="15" customHeight="1" x14ac:dyDescent="0.25">
      <c r="B316" s="178"/>
      <c r="C316" s="179"/>
      <c r="D316" s="178"/>
      <c r="E316" s="178"/>
      <c r="F316" s="178"/>
      <c r="G316" s="178"/>
      <c r="H316" s="178"/>
      <c r="I316" s="178"/>
      <c r="J316" s="178"/>
      <c r="K316" s="178"/>
      <c r="L316" s="178"/>
      <c r="M316" s="178"/>
      <c r="N316" s="178"/>
      <c r="O316" s="178"/>
      <c r="P316" s="178"/>
      <c r="Q316" s="178"/>
      <c r="R316" s="178"/>
      <c r="S316" s="178"/>
      <c r="T316" s="178"/>
      <c r="U316" s="178"/>
      <c r="V316" s="178"/>
      <c r="W316" s="178"/>
      <c r="X316" s="178"/>
      <c r="Y316" s="178"/>
      <c r="Z316" s="178"/>
      <c r="AA316" s="178"/>
      <c r="AB316" s="178"/>
      <c r="AC316" s="178"/>
      <c r="AD316" s="178"/>
      <c r="AE316" s="178"/>
      <c r="AF316" s="178"/>
      <c r="AG316" s="178"/>
      <c r="AH316" s="178"/>
      <c r="AI316" s="178"/>
      <c r="AJ316" s="178"/>
      <c r="AK316" s="178"/>
      <c r="AL316" s="178"/>
      <c r="AM316" s="178"/>
      <c r="AN316" s="178"/>
      <c r="AO316" s="178"/>
      <c r="AP316" s="178"/>
      <c r="AQ316" s="178"/>
      <c r="AR316" s="178"/>
      <c r="AS316" s="178"/>
      <c r="AT316" s="178"/>
      <c r="AU316" s="178"/>
      <c r="AV316" s="178"/>
      <c r="AW316" s="178"/>
      <c r="AX316" s="178"/>
      <c r="AY316" s="178"/>
      <c r="AZ316" s="178"/>
      <c r="BA316" s="178"/>
      <c r="BB316" s="178"/>
      <c r="BC316" s="178"/>
      <c r="BD316" s="178"/>
      <c r="BE316" s="178"/>
      <c r="BF316" s="178"/>
      <c r="BG316" s="178"/>
      <c r="BH316" s="178"/>
      <c r="BI316" s="178"/>
      <c r="BJ316" s="178"/>
      <c r="BK316" s="178"/>
      <c r="BL316" s="178"/>
      <c r="BM316" s="178"/>
      <c r="BN316" s="178"/>
      <c r="BO316" s="178"/>
      <c r="BP316" s="178"/>
      <c r="BQ316" s="178"/>
      <c r="BR316" s="178"/>
      <c r="BS316" s="178"/>
      <c r="BT316" s="178"/>
      <c r="BU316" s="178"/>
    </row>
    <row r="317" spans="2:73" ht="15" customHeight="1" x14ac:dyDescent="0.25">
      <c r="B317" s="178"/>
      <c r="C317" s="179"/>
      <c r="D317" s="178"/>
      <c r="E317" s="178"/>
      <c r="F317" s="178"/>
      <c r="G317" s="178"/>
      <c r="H317" s="178"/>
      <c r="I317" s="178"/>
      <c r="J317" s="178"/>
      <c r="K317" s="178"/>
      <c r="L317" s="178"/>
      <c r="M317" s="178"/>
      <c r="N317" s="178"/>
      <c r="O317" s="178"/>
      <c r="P317" s="178"/>
      <c r="Q317" s="178"/>
      <c r="R317" s="178"/>
      <c r="S317" s="178"/>
      <c r="T317" s="178"/>
      <c r="U317" s="178"/>
      <c r="V317" s="178"/>
      <c r="W317" s="178"/>
      <c r="X317" s="178"/>
      <c r="Y317" s="178"/>
      <c r="Z317" s="178"/>
      <c r="AA317" s="178"/>
      <c r="AB317" s="178"/>
      <c r="AC317" s="178"/>
      <c r="AD317" s="178"/>
      <c r="AE317" s="178"/>
      <c r="AF317" s="178"/>
      <c r="AG317" s="178"/>
      <c r="AH317" s="178"/>
      <c r="AI317" s="178"/>
      <c r="AJ317" s="178"/>
      <c r="AK317" s="178"/>
      <c r="AL317" s="178"/>
      <c r="AM317" s="178"/>
      <c r="AN317" s="178"/>
      <c r="AO317" s="178"/>
      <c r="AP317" s="178"/>
      <c r="AQ317" s="178"/>
      <c r="AR317" s="178"/>
      <c r="AS317" s="178"/>
      <c r="AT317" s="178"/>
      <c r="AU317" s="178"/>
      <c r="AV317" s="178"/>
      <c r="AW317" s="178"/>
      <c r="AX317" s="178"/>
      <c r="AY317" s="178"/>
      <c r="AZ317" s="178"/>
      <c r="BA317" s="178"/>
      <c r="BB317" s="178"/>
      <c r="BC317" s="178"/>
      <c r="BD317" s="178"/>
      <c r="BE317" s="178"/>
      <c r="BF317" s="178"/>
      <c r="BG317" s="178"/>
      <c r="BH317" s="178"/>
      <c r="BI317" s="178"/>
      <c r="BJ317" s="178"/>
      <c r="BK317" s="178"/>
      <c r="BL317" s="178"/>
      <c r="BM317" s="178"/>
      <c r="BN317" s="178"/>
      <c r="BO317" s="178"/>
      <c r="BP317" s="178"/>
      <c r="BQ317" s="178"/>
      <c r="BR317" s="178"/>
      <c r="BS317" s="178"/>
      <c r="BT317" s="178"/>
      <c r="BU317" s="178"/>
    </row>
    <row r="318" spans="2:73" ht="15" customHeight="1" x14ac:dyDescent="0.25">
      <c r="B318" s="178"/>
      <c r="C318" s="179"/>
      <c r="D318" s="178"/>
      <c r="E318" s="178"/>
      <c r="F318" s="178"/>
      <c r="G318" s="178"/>
      <c r="H318" s="178"/>
      <c r="I318" s="178"/>
      <c r="J318" s="178"/>
      <c r="K318" s="178"/>
      <c r="L318" s="178"/>
      <c r="M318" s="178"/>
      <c r="N318" s="178"/>
      <c r="O318" s="178"/>
      <c r="P318" s="178"/>
      <c r="Q318" s="178"/>
      <c r="R318" s="178"/>
      <c r="S318" s="178"/>
      <c r="T318" s="178"/>
      <c r="U318" s="178"/>
      <c r="V318" s="178"/>
      <c r="W318" s="178"/>
      <c r="X318" s="178"/>
      <c r="Y318" s="178"/>
      <c r="Z318" s="178"/>
      <c r="AA318" s="178"/>
      <c r="AB318" s="178"/>
      <c r="AC318" s="178"/>
      <c r="AD318" s="178"/>
      <c r="AE318" s="178"/>
      <c r="AF318" s="178"/>
      <c r="AG318" s="178"/>
      <c r="AH318" s="178"/>
      <c r="AI318" s="178"/>
      <c r="AJ318" s="178"/>
      <c r="AK318" s="178"/>
      <c r="AL318" s="178"/>
      <c r="AM318" s="178"/>
      <c r="AN318" s="178"/>
      <c r="AO318" s="178"/>
      <c r="AP318" s="178"/>
      <c r="AQ318" s="178"/>
      <c r="AR318" s="178"/>
      <c r="AS318" s="178"/>
      <c r="AT318" s="178"/>
      <c r="AU318" s="178"/>
      <c r="AV318" s="178"/>
      <c r="AW318" s="178"/>
      <c r="AX318" s="178"/>
      <c r="AY318" s="178"/>
      <c r="AZ318" s="178"/>
      <c r="BA318" s="178"/>
      <c r="BB318" s="178"/>
      <c r="BC318" s="178"/>
      <c r="BD318" s="178"/>
      <c r="BE318" s="178"/>
      <c r="BF318" s="178"/>
      <c r="BG318" s="178"/>
      <c r="BH318" s="178"/>
      <c r="BI318" s="178"/>
      <c r="BJ318" s="178"/>
      <c r="BK318" s="178"/>
      <c r="BL318" s="178"/>
      <c r="BM318" s="178"/>
      <c r="BN318" s="178"/>
      <c r="BO318" s="178"/>
      <c r="BP318" s="178"/>
      <c r="BQ318" s="178"/>
      <c r="BR318" s="178"/>
      <c r="BS318" s="178"/>
      <c r="BT318" s="178"/>
      <c r="BU318" s="178"/>
    </row>
    <row r="319" spans="2:73" ht="15" customHeight="1" x14ac:dyDescent="0.25">
      <c r="B319" s="178"/>
      <c r="C319" s="179"/>
      <c r="D319" s="178"/>
      <c r="E319" s="178"/>
      <c r="F319" s="178"/>
      <c r="G319" s="178"/>
      <c r="H319" s="178"/>
      <c r="I319" s="178"/>
      <c r="J319" s="178"/>
      <c r="K319" s="178"/>
      <c r="L319" s="178"/>
      <c r="M319" s="178"/>
      <c r="N319" s="178"/>
      <c r="O319" s="178"/>
      <c r="P319" s="178"/>
      <c r="Q319" s="178"/>
      <c r="R319" s="178"/>
      <c r="S319" s="178"/>
      <c r="T319" s="178"/>
      <c r="U319" s="178"/>
      <c r="V319" s="178"/>
      <c r="W319" s="178"/>
      <c r="X319" s="178"/>
      <c r="Y319" s="178"/>
      <c r="Z319" s="178"/>
      <c r="AA319" s="178"/>
      <c r="AB319" s="178"/>
      <c r="AC319" s="178"/>
      <c r="AD319" s="178"/>
      <c r="AE319" s="178"/>
      <c r="AF319" s="178"/>
      <c r="AG319" s="178"/>
      <c r="AH319" s="178"/>
      <c r="AI319" s="178"/>
      <c r="AJ319" s="178"/>
      <c r="AK319" s="178"/>
      <c r="AL319" s="178"/>
      <c r="AM319" s="178"/>
      <c r="AN319" s="178"/>
      <c r="AO319" s="178"/>
      <c r="AP319" s="178"/>
      <c r="AQ319" s="178"/>
      <c r="AR319" s="178"/>
      <c r="AS319" s="178"/>
      <c r="AT319" s="178"/>
      <c r="AU319" s="178"/>
      <c r="AV319" s="178"/>
      <c r="AW319" s="178"/>
      <c r="AX319" s="178"/>
      <c r="AY319" s="178"/>
      <c r="AZ319" s="178"/>
      <c r="BA319" s="178"/>
      <c r="BB319" s="178"/>
      <c r="BC319" s="178"/>
      <c r="BD319" s="178"/>
      <c r="BE319" s="178"/>
      <c r="BF319" s="178"/>
      <c r="BG319" s="178"/>
      <c r="BH319" s="178"/>
      <c r="BI319" s="178"/>
      <c r="BJ319" s="178"/>
      <c r="BK319" s="178"/>
      <c r="BL319" s="178"/>
      <c r="BM319" s="178"/>
      <c r="BN319" s="178"/>
      <c r="BO319" s="178"/>
      <c r="BP319" s="178"/>
      <c r="BQ319" s="178"/>
      <c r="BR319" s="178"/>
      <c r="BS319" s="178"/>
      <c r="BT319" s="178"/>
      <c r="BU319" s="178"/>
    </row>
    <row r="320" spans="2:73" ht="15" customHeight="1" x14ac:dyDescent="0.25">
      <c r="B320" s="178"/>
      <c r="C320" s="179"/>
      <c r="D320" s="178"/>
      <c r="E320" s="178"/>
      <c r="F320" s="178"/>
      <c r="G320" s="178"/>
      <c r="H320" s="178"/>
      <c r="I320" s="178"/>
      <c r="J320" s="178"/>
      <c r="K320" s="178"/>
      <c r="L320" s="178"/>
      <c r="M320" s="178"/>
      <c r="N320" s="178"/>
      <c r="O320" s="178"/>
      <c r="P320" s="178"/>
      <c r="Q320" s="178"/>
      <c r="R320" s="178"/>
      <c r="S320" s="178"/>
      <c r="T320" s="178"/>
      <c r="U320" s="178"/>
      <c r="V320" s="178"/>
      <c r="W320" s="178"/>
      <c r="X320" s="178"/>
      <c r="Y320" s="178"/>
      <c r="Z320" s="178"/>
      <c r="AA320" s="178"/>
      <c r="AB320" s="178"/>
      <c r="AC320" s="178"/>
      <c r="AD320" s="178"/>
      <c r="AE320" s="178"/>
      <c r="AF320" s="178"/>
      <c r="AG320" s="178"/>
      <c r="AH320" s="178"/>
      <c r="AI320" s="178"/>
      <c r="AJ320" s="178"/>
      <c r="AK320" s="178"/>
      <c r="AL320" s="178"/>
      <c r="AM320" s="178"/>
      <c r="AN320" s="178"/>
      <c r="AO320" s="178"/>
      <c r="AP320" s="178"/>
      <c r="AQ320" s="178"/>
      <c r="AR320" s="178"/>
      <c r="AS320" s="178"/>
      <c r="AT320" s="178"/>
      <c r="AU320" s="178"/>
      <c r="AV320" s="178"/>
      <c r="AW320" s="178"/>
      <c r="AX320" s="178"/>
      <c r="AY320" s="178"/>
      <c r="AZ320" s="178"/>
      <c r="BA320" s="178"/>
      <c r="BB320" s="178"/>
      <c r="BC320" s="178"/>
      <c r="BD320" s="178"/>
      <c r="BE320" s="178"/>
      <c r="BF320" s="178"/>
      <c r="BG320" s="178"/>
      <c r="BH320" s="178"/>
      <c r="BI320" s="178"/>
      <c r="BJ320" s="178"/>
      <c r="BK320" s="178"/>
      <c r="BL320" s="178"/>
      <c r="BM320" s="178"/>
      <c r="BN320" s="178"/>
      <c r="BO320" s="178"/>
      <c r="BP320" s="178"/>
      <c r="BQ320" s="178"/>
      <c r="BR320" s="178"/>
      <c r="BS320" s="178"/>
      <c r="BT320" s="178"/>
      <c r="BU320" s="178"/>
    </row>
    <row r="321" spans="2:73" ht="15" customHeight="1" x14ac:dyDescent="0.25">
      <c r="B321" s="178"/>
      <c r="C321" s="179"/>
      <c r="D321" s="178"/>
      <c r="E321" s="178"/>
      <c r="F321" s="178"/>
      <c r="G321" s="178"/>
      <c r="H321" s="178"/>
      <c r="I321" s="178"/>
      <c r="J321" s="178"/>
      <c r="K321" s="178"/>
      <c r="L321" s="178"/>
      <c r="M321" s="178"/>
      <c r="N321" s="178"/>
      <c r="O321" s="178"/>
      <c r="P321" s="178"/>
      <c r="Q321" s="178"/>
      <c r="R321" s="178"/>
      <c r="S321" s="178"/>
      <c r="T321" s="178"/>
      <c r="U321" s="178"/>
      <c r="V321" s="178"/>
      <c r="W321" s="178"/>
      <c r="X321" s="178"/>
      <c r="Y321" s="178"/>
      <c r="Z321" s="178"/>
      <c r="AA321" s="178"/>
      <c r="AB321" s="178"/>
      <c r="AC321" s="178"/>
      <c r="AD321" s="178"/>
      <c r="AE321" s="178"/>
      <c r="AF321" s="178"/>
      <c r="AG321" s="178"/>
      <c r="AH321" s="178"/>
      <c r="AI321" s="178"/>
      <c r="AJ321" s="178"/>
      <c r="AK321" s="178"/>
      <c r="AL321" s="178"/>
      <c r="AM321" s="178"/>
      <c r="AN321" s="178"/>
      <c r="AO321" s="178"/>
      <c r="AP321" s="178"/>
      <c r="AQ321" s="178"/>
      <c r="AR321" s="178"/>
      <c r="AS321" s="178"/>
      <c r="AT321" s="178"/>
      <c r="AU321" s="178"/>
      <c r="AV321" s="178"/>
      <c r="AW321" s="178"/>
      <c r="AX321" s="178"/>
      <c r="AY321" s="178"/>
      <c r="AZ321" s="178"/>
      <c r="BA321" s="178"/>
      <c r="BB321" s="178"/>
      <c r="BC321" s="178"/>
      <c r="BD321" s="178"/>
      <c r="BE321" s="178"/>
      <c r="BF321" s="178"/>
      <c r="BG321" s="178"/>
      <c r="BH321" s="178"/>
      <c r="BI321" s="178"/>
      <c r="BJ321" s="178"/>
      <c r="BK321" s="178"/>
      <c r="BL321" s="178"/>
      <c r="BM321" s="178"/>
      <c r="BN321" s="178"/>
      <c r="BO321" s="178"/>
      <c r="BP321" s="178"/>
      <c r="BQ321" s="178"/>
      <c r="BR321" s="178"/>
      <c r="BS321" s="178"/>
      <c r="BT321" s="178"/>
      <c r="BU321" s="178"/>
    </row>
    <row r="322" spans="2:73" ht="15" customHeight="1" x14ac:dyDescent="0.25">
      <c r="B322" s="178"/>
      <c r="C322" s="179"/>
      <c r="D322" s="178"/>
      <c r="E322" s="178"/>
      <c r="F322" s="178"/>
      <c r="G322" s="178"/>
      <c r="H322" s="178"/>
      <c r="I322" s="178"/>
      <c r="J322" s="178"/>
      <c r="K322" s="178"/>
      <c r="L322" s="178"/>
      <c r="M322" s="178"/>
      <c r="N322" s="178"/>
      <c r="O322" s="178"/>
      <c r="P322" s="178"/>
      <c r="Q322" s="178"/>
      <c r="R322" s="178"/>
      <c r="S322" s="178"/>
      <c r="T322" s="178"/>
      <c r="U322" s="178"/>
      <c r="V322" s="178"/>
      <c r="W322" s="178"/>
      <c r="X322" s="178"/>
      <c r="Y322" s="178"/>
      <c r="Z322" s="178"/>
      <c r="AA322" s="178"/>
      <c r="AB322" s="178"/>
      <c r="AC322" s="178"/>
      <c r="AD322" s="178"/>
      <c r="AE322" s="178"/>
      <c r="AF322" s="178"/>
      <c r="AG322" s="178"/>
      <c r="AH322" s="178"/>
      <c r="AI322" s="178"/>
      <c r="AJ322" s="178"/>
      <c r="AK322" s="178"/>
      <c r="AL322" s="178"/>
      <c r="AM322" s="178"/>
      <c r="AN322" s="178"/>
      <c r="AO322" s="178"/>
      <c r="AP322" s="178"/>
      <c r="AQ322" s="178"/>
      <c r="AR322" s="178"/>
      <c r="AS322" s="178"/>
      <c r="AT322" s="178"/>
      <c r="AU322" s="178"/>
      <c r="AV322" s="178"/>
      <c r="AW322" s="178"/>
      <c r="AX322" s="178"/>
      <c r="AY322" s="178"/>
      <c r="AZ322" s="178"/>
      <c r="BA322" s="178"/>
      <c r="BB322" s="178"/>
      <c r="BC322" s="178"/>
      <c r="BD322" s="178"/>
      <c r="BE322" s="178"/>
      <c r="BF322" s="178"/>
      <c r="BG322" s="178"/>
      <c r="BH322" s="178"/>
      <c r="BI322" s="178"/>
      <c r="BJ322" s="178"/>
      <c r="BK322" s="178"/>
      <c r="BL322" s="178"/>
      <c r="BM322" s="178"/>
      <c r="BN322" s="178"/>
      <c r="BO322" s="178"/>
      <c r="BP322" s="178"/>
      <c r="BQ322" s="178"/>
      <c r="BR322" s="178"/>
      <c r="BS322" s="178"/>
      <c r="BT322" s="178"/>
      <c r="BU322" s="178"/>
    </row>
    <row r="323" spans="2:73" ht="15" customHeight="1" x14ac:dyDescent="0.25">
      <c r="B323" s="178"/>
      <c r="C323" s="179"/>
      <c r="D323" s="178"/>
      <c r="E323" s="178"/>
      <c r="F323" s="178"/>
      <c r="G323" s="178"/>
      <c r="H323" s="178"/>
      <c r="I323" s="178"/>
      <c r="J323" s="178"/>
      <c r="K323" s="178"/>
      <c r="L323" s="178"/>
      <c r="M323" s="178"/>
      <c r="N323" s="178"/>
      <c r="O323" s="178"/>
      <c r="P323" s="178"/>
      <c r="Q323" s="178"/>
      <c r="R323" s="178"/>
      <c r="S323" s="178"/>
      <c r="T323" s="178"/>
      <c r="U323" s="178"/>
      <c r="V323" s="178"/>
      <c r="W323" s="178"/>
      <c r="X323" s="178"/>
      <c r="Y323" s="178"/>
      <c r="Z323" s="178"/>
      <c r="AA323" s="178"/>
      <c r="AB323" s="178"/>
      <c r="AC323" s="178"/>
      <c r="AD323" s="178"/>
      <c r="AE323" s="178"/>
      <c r="AF323" s="178"/>
      <c r="AG323" s="178"/>
      <c r="AH323" s="178"/>
      <c r="AI323" s="178"/>
      <c r="AJ323" s="178"/>
      <c r="AK323" s="178"/>
      <c r="AL323" s="178"/>
      <c r="AM323" s="178"/>
      <c r="AN323" s="178"/>
      <c r="AO323" s="178"/>
      <c r="AP323" s="178"/>
      <c r="AQ323" s="178"/>
      <c r="AR323" s="178"/>
      <c r="AS323" s="178"/>
      <c r="AT323" s="178"/>
      <c r="AU323" s="178"/>
      <c r="AV323" s="178"/>
      <c r="AW323" s="178"/>
      <c r="AX323" s="178"/>
      <c r="AY323" s="178"/>
      <c r="AZ323" s="178"/>
      <c r="BA323" s="178"/>
      <c r="BB323" s="178"/>
      <c r="BC323" s="178"/>
      <c r="BD323" s="178"/>
      <c r="BE323" s="178"/>
      <c r="BF323" s="178"/>
      <c r="BG323" s="178"/>
      <c r="BH323" s="178"/>
      <c r="BI323" s="178"/>
      <c r="BJ323" s="178"/>
      <c r="BK323" s="178"/>
      <c r="BL323" s="178"/>
      <c r="BM323" s="178"/>
      <c r="BN323" s="178"/>
      <c r="BO323" s="178"/>
      <c r="BP323" s="178"/>
      <c r="BQ323" s="178"/>
      <c r="BR323" s="178"/>
      <c r="BS323" s="178"/>
      <c r="BT323" s="178"/>
      <c r="BU323" s="178"/>
    </row>
    <row r="324" spans="2:73" ht="15" customHeight="1" x14ac:dyDescent="0.25">
      <c r="B324" s="178"/>
      <c r="C324" s="179"/>
      <c r="D324" s="178"/>
      <c r="E324" s="178"/>
      <c r="F324" s="178"/>
      <c r="G324" s="178"/>
      <c r="H324" s="178"/>
      <c r="I324" s="178"/>
      <c r="J324" s="178"/>
      <c r="K324" s="178"/>
      <c r="L324" s="178"/>
      <c r="M324" s="178"/>
      <c r="N324" s="178"/>
      <c r="O324" s="178"/>
      <c r="P324" s="178"/>
      <c r="Q324" s="178"/>
      <c r="R324" s="178"/>
      <c r="S324" s="178"/>
      <c r="T324" s="178"/>
      <c r="U324" s="178"/>
      <c r="V324" s="178"/>
      <c r="W324" s="178"/>
      <c r="X324" s="178"/>
      <c r="Y324" s="178"/>
      <c r="Z324" s="178"/>
      <c r="AA324" s="178"/>
      <c r="AB324" s="178"/>
      <c r="AC324" s="178"/>
      <c r="AD324" s="178"/>
      <c r="AE324" s="178"/>
      <c r="AF324" s="178"/>
      <c r="AG324" s="178"/>
      <c r="AH324" s="178"/>
      <c r="AI324" s="178"/>
      <c r="AJ324" s="178"/>
      <c r="AK324" s="178"/>
      <c r="AL324" s="178"/>
      <c r="AM324" s="178"/>
      <c r="AN324" s="178"/>
      <c r="AO324" s="178"/>
      <c r="AP324" s="178"/>
      <c r="AQ324" s="178"/>
      <c r="AR324" s="178"/>
      <c r="AS324" s="178"/>
      <c r="AT324" s="178"/>
      <c r="AU324" s="178"/>
      <c r="AV324" s="178"/>
      <c r="AW324" s="178"/>
      <c r="AX324" s="178"/>
      <c r="AY324" s="178"/>
      <c r="AZ324" s="178"/>
      <c r="BA324" s="178"/>
      <c r="BB324" s="178"/>
      <c r="BC324" s="178"/>
      <c r="BD324" s="178"/>
      <c r="BE324" s="178"/>
      <c r="BF324" s="178"/>
      <c r="BG324" s="178"/>
      <c r="BH324" s="178"/>
      <c r="BI324" s="178"/>
      <c r="BJ324" s="178"/>
      <c r="BK324" s="178"/>
      <c r="BL324" s="178"/>
      <c r="BM324" s="178"/>
      <c r="BN324" s="178"/>
      <c r="BO324" s="178"/>
      <c r="BP324" s="178"/>
      <c r="BQ324" s="178"/>
      <c r="BR324" s="178"/>
      <c r="BS324" s="178"/>
      <c r="BT324" s="178"/>
      <c r="BU324" s="178"/>
    </row>
    <row r="325" spans="2:73" ht="15" customHeight="1" x14ac:dyDescent="0.25">
      <c r="B325" s="178"/>
      <c r="C325" s="179"/>
      <c r="D325" s="178"/>
      <c r="E325" s="178"/>
      <c r="F325" s="178"/>
      <c r="G325" s="178"/>
      <c r="H325" s="178"/>
      <c r="I325" s="178"/>
      <c r="J325" s="178"/>
      <c r="K325" s="178"/>
      <c r="L325" s="178"/>
      <c r="M325" s="178"/>
      <c r="N325" s="178"/>
      <c r="O325" s="178"/>
      <c r="P325" s="178"/>
      <c r="Q325" s="178"/>
      <c r="R325" s="178"/>
      <c r="S325" s="178"/>
      <c r="T325" s="178"/>
      <c r="U325" s="178"/>
      <c r="V325" s="178"/>
      <c r="W325" s="178"/>
      <c r="X325" s="178"/>
      <c r="Y325" s="178"/>
      <c r="Z325" s="178"/>
      <c r="AA325" s="178"/>
      <c r="AB325" s="178"/>
      <c r="AC325" s="178"/>
      <c r="AD325" s="178"/>
      <c r="AE325" s="178"/>
      <c r="AF325" s="178"/>
      <c r="AG325" s="178"/>
      <c r="AH325" s="178"/>
      <c r="AI325" s="178"/>
      <c r="AJ325" s="178"/>
      <c r="AK325" s="178"/>
      <c r="AL325" s="178"/>
      <c r="AM325" s="178"/>
      <c r="AN325" s="178"/>
      <c r="AO325" s="178"/>
      <c r="AP325" s="178"/>
      <c r="AQ325" s="178"/>
      <c r="AR325" s="178"/>
      <c r="AS325" s="178"/>
      <c r="AT325" s="178"/>
      <c r="AU325" s="178"/>
      <c r="AV325" s="178"/>
      <c r="AW325" s="178"/>
      <c r="AX325" s="178"/>
      <c r="AY325" s="178"/>
      <c r="AZ325" s="178"/>
      <c r="BA325" s="178"/>
      <c r="BB325" s="178"/>
      <c r="BC325" s="178"/>
      <c r="BD325" s="178"/>
      <c r="BE325" s="178"/>
      <c r="BF325" s="178"/>
      <c r="BG325" s="178"/>
      <c r="BH325" s="178"/>
      <c r="BI325" s="178"/>
      <c r="BJ325" s="178"/>
      <c r="BK325" s="178"/>
      <c r="BL325" s="178"/>
      <c r="BM325" s="178"/>
      <c r="BN325" s="178"/>
      <c r="BO325" s="178"/>
      <c r="BP325" s="178"/>
      <c r="BQ325" s="178"/>
      <c r="BR325" s="178"/>
      <c r="BS325" s="178"/>
      <c r="BT325" s="178"/>
      <c r="BU325" s="178"/>
    </row>
    <row r="326" spans="2:73" ht="15" customHeight="1" x14ac:dyDescent="0.25">
      <c r="B326" s="178"/>
      <c r="C326" s="179"/>
      <c r="D326" s="178"/>
      <c r="E326" s="178"/>
      <c r="F326" s="178"/>
      <c r="G326" s="178"/>
      <c r="H326" s="178"/>
      <c r="I326" s="178"/>
      <c r="J326" s="178"/>
      <c r="K326" s="178"/>
      <c r="L326" s="178"/>
      <c r="M326" s="178"/>
      <c r="N326" s="178"/>
      <c r="O326" s="178"/>
      <c r="P326" s="178"/>
      <c r="Q326" s="178"/>
      <c r="R326" s="178"/>
      <c r="S326" s="178"/>
      <c r="T326" s="178"/>
      <c r="U326" s="178"/>
      <c r="V326" s="178"/>
      <c r="W326" s="178"/>
      <c r="X326" s="178"/>
      <c r="Y326" s="178"/>
      <c r="Z326" s="178"/>
      <c r="AA326" s="178"/>
      <c r="AB326" s="178"/>
      <c r="AC326" s="178"/>
      <c r="AD326" s="178"/>
      <c r="AE326" s="178"/>
      <c r="AF326" s="178"/>
      <c r="AG326" s="178"/>
      <c r="AH326" s="178"/>
      <c r="AI326" s="178"/>
      <c r="AJ326" s="178"/>
      <c r="AK326" s="178"/>
      <c r="AL326" s="178"/>
      <c r="AM326" s="178"/>
      <c r="AN326" s="178"/>
      <c r="AO326" s="178"/>
      <c r="AP326" s="178"/>
      <c r="AQ326" s="178"/>
      <c r="AR326" s="178"/>
      <c r="AS326" s="178"/>
      <c r="AT326" s="178"/>
      <c r="AU326" s="178"/>
      <c r="AV326" s="178"/>
      <c r="AW326" s="178"/>
      <c r="AX326" s="178"/>
      <c r="AY326" s="178"/>
      <c r="AZ326" s="178"/>
      <c r="BA326" s="178"/>
      <c r="BB326" s="178"/>
      <c r="BC326" s="178"/>
      <c r="BD326" s="178"/>
      <c r="BE326" s="178"/>
      <c r="BF326" s="178"/>
      <c r="BG326" s="178"/>
      <c r="BH326" s="178"/>
      <c r="BI326" s="178"/>
      <c r="BJ326" s="178"/>
      <c r="BK326" s="178"/>
      <c r="BL326" s="178"/>
      <c r="BM326" s="178"/>
      <c r="BN326" s="178"/>
      <c r="BO326" s="178"/>
      <c r="BP326" s="178"/>
      <c r="BQ326" s="178"/>
      <c r="BR326" s="178"/>
      <c r="BS326" s="178"/>
      <c r="BT326" s="178"/>
      <c r="BU326" s="178"/>
    </row>
    <row r="327" spans="2:73" ht="15" customHeight="1" x14ac:dyDescent="0.25">
      <c r="B327" s="178"/>
      <c r="C327" s="179"/>
      <c r="D327" s="178"/>
      <c r="E327" s="178"/>
      <c r="F327" s="178"/>
      <c r="G327" s="178"/>
      <c r="H327" s="178"/>
      <c r="I327" s="178"/>
      <c r="J327" s="178"/>
      <c r="K327" s="178"/>
      <c r="L327" s="178"/>
      <c r="M327" s="178"/>
      <c r="N327" s="178"/>
      <c r="O327" s="178"/>
      <c r="P327" s="178"/>
      <c r="Q327" s="178"/>
      <c r="R327" s="178"/>
      <c r="S327" s="178"/>
      <c r="T327" s="178"/>
      <c r="U327" s="178"/>
      <c r="V327" s="178"/>
      <c r="W327" s="178"/>
      <c r="X327" s="178"/>
      <c r="Y327" s="178"/>
      <c r="Z327" s="178"/>
      <c r="AA327" s="178"/>
      <c r="AB327" s="178"/>
      <c r="AC327" s="178"/>
      <c r="AD327" s="178"/>
      <c r="AE327" s="178"/>
      <c r="AF327" s="178"/>
      <c r="AG327" s="178"/>
      <c r="AH327" s="178"/>
      <c r="AI327" s="178"/>
      <c r="AJ327" s="178"/>
      <c r="AK327" s="178"/>
      <c r="AL327" s="178"/>
      <c r="AM327" s="178"/>
      <c r="AN327" s="178"/>
      <c r="AO327" s="178"/>
      <c r="AP327" s="178"/>
      <c r="AQ327" s="178"/>
      <c r="AR327" s="178"/>
      <c r="AS327" s="178"/>
      <c r="AT327" s="178"/>
      <c r="AU327" s="178"/>
      <c r="AV327" s="178"/>
      <c r="AW327" s="178"/>
      <c r="AX327" s="178"/>
      <c r="AY327" s="178"/>
      <c r="AZ327" s="178"/>
      <c r="BA327" s="178"/>
      <c r="BB327" s="178"/>
      <c r="BC327" s="178"/>
      <c r="BD327" s="178"/>
      <c r="BE327" s="178"/>
      <c r="BF327" s="178"/>
      <c r="BG327" s="178"/>
      <c r="BH327" s="178"/>
      <c r="BI327" s="178"/>
      <c r="BJ327" s="178"/>
      <c r="BK327" s="178"/>
      <c r="BL327" s="178"/>
      <c r="BM327" s="178"/>
      <c r="BN327" s="178"/>
      <c r="BO327" s="178"/>
      <c r="BP327" s="178"/>
      <c r="BQ327" s="178"/>
      <c r="BR327" s="178"/>
      <c r="BS327" s="178"/>
      <c r="BT327" s="178"/>
      <c r="BU327" s="178"/>
    </row>
    <row r="328" spans="2:73" ht="15" customHeight="1" x14ac:dyDescent="0.25">
      <c r="B328" s="178"/>
      <c r="C328" s="179"/>
      <c r="D328" s="178"/>
      <c r="E328" s="178"/>
      <c r="F328" s="178"/>
      <c r="G328" s="178"/>
      <c r="H328" s="178"/>
      <c r="I328" s="178"/>
      <c r="J328" s="178"/>
      <c r="K328" s="178"/>
      <c r="L328" s="178"/>
      <c r="M328" s="178"/>
      <c r="N328" s="178"/>
      <c r="O328" s="178"/>
      <c r="P328" s="178"/>
      <c r="Q328" s="178"/>
      <c r="R328" s="178"/>
      <c r="S328" s="178"/>
      <c r="T328" s="178"/>
      <c r="U328" s="178"/>
      <c r="V328" s="178"/>
      <c r="W328" s="178"/>
      <c r="X328" s="178"/>
      <c r="Y328" s="178"/>
      <c r="Z328" s="178"/>
      <c r="AA328" s="178"/>
      <c r="AB328" s="178"/>
      <c r="AC328" s="178"/>
      <c r="AD328" s="178"/>
      <c r="AE328" s="178"/>
      <c r="AF328" s="178"/>
      <c r="AG328" s="178"/>
      <c r="AH328" s="178"/>
      <c r="AI328" s="178"/>
      <c r="AJ328" s="178"/>
      <c r="AK328" s="178"/>
      <c r="AL328" s="178"/>
      <c r="AM328" s="178"/>
      <c r="AN328" s="178"/>
      <c r="AO328" s="178"/>
      <c r="AP328" s="178"/>
      <c r="AQ328" s="178"/>
      <c r="AR328" s="178"/>
      <c r="AS328" s="178"/>
      <c r="AT328" s="178"/>
      <c r="AU328" s="178"/>
      <c r="AV328" s="178"/>
      <c r="AW328" s="178"/>
      <c r="AX328" s="178"/>
      <c r="AY328" s="178"/>
      <c r="AZ328" s="178"/>
      <c r="BA328" s="178"/>
      <c r="BB328" s="178"/>
      <c r="BC328" s="178"/>
      <c r="BD328" s="178"/>
      <c r="BE328" s="178"/>
      <c r="BF328" s="178"/>
      <c r="BG328" s="178"/>
      <c r="BH328" s="178"/>
      <c r="BI328" s="178"/>
      <c r="BJ328" s="178"/>
      <c r="BK328" s="178"/>
      <c r="BL328" s="178"/>
      <c r="BM328" s="178"/>
      <c r="BN328" s="178"/>
      <c r="BO328" s="178"/>
      <c r="BP328" s="178"/>
      <c r="BQ328" s="178"/>
      <c r="BR328" s="178"/>
      <c r="BS328" s="178"/>
      <c r="BT328" s="178"/>
      <c r="BU328" s="178"/>
    </row>
    <row r="329" spans="2:73" ht="15" customHeight="1" x14ac:dyDescent="0.25">
      <c r="B329" s="178"/>
      <c r="C329" s="179"/>
      <c r="D329" s="178"/>
      <c r="E329" s="178"/>
      <c r="F329" s="178"/>
      <c r="G329" s="178"/>
      <c r="H329" s="178"/>
      <c r="I329" s="178"/>
      <c r="J329" s="178"/>
      <c r="K329" s="178"/>
      <c r="L329" s="178"/>
      <c r="M329" s="178"/>
      <c r="N329" s="178"/>
      <c r="O329" s="178"/>
      <c r="P329" s="178"/>
      <c r="Q329" s="178"/>
      <c r="R329" s="178"/>
      <c r="S329" s="178"/>
      <c r="T329" s="178"/>
      <c r="U329" s="178"/>
      <c r="V329" s="178"/>
      <c r="W329" s="178"/>
      <c r="X329" s="178"/>
      <c r="Y329" s="178"/>
      <c r="Z329" s="178"/>
      <c r="AA329" s="178"/>
      <c r="AB329" s="178"/>
      <c r="AC329" s="178"/>
      <c r="AD329" s="178"/>
      <c r="AE329" s="178"/>
      <c r="AF329" s="178"/>
      <c r="AG329" s="178"/>
      <c r="AH329" s="178"/>
      <c r="AI329" s="178"/>
      <c r="AJ329" s="178"/>
      <c r="AK329" s="178"/>
      <c r="AL329" s="178"/>
      <c r="AM329" s="178"/>
      <c r="AN329" s="178"/>
      <c r="AO329" s="178"/>
      <c r="AP329" s="178"/>
      <c r="AQ329" s="178"/>
      <c r="AR329" s="178"/>
      <c r="AS329" s="178"/>
      <c r="AT329" s="178"/>
      <c r="AU329" s="178"/>
      <c r="AV329" s="178"/>
      <c r="AW329" s="178"/>
      <c r="AX329" s="178"/>
      <c r="AY329" s="178"/>
      <c r="AZ329" s="178"/>
      <c r="BA329" s="178"/>
      <c r="BB329" s="178"/>
      <c r="BC329" s="178"/>
      <c r="BD329" s="178"/>
      <c r="BE329" s="178"/>
      <c r="BF329" s="178"/>
      <c r="BG329" s="178"/>
      <c r="BH329" s="178"/>
      <c r="BI329" s="178"/>
      <c r="BJ329" s="178"/>
      <c r="BK329" s="178"/>
      <c r="BL329" s="178"/>
      <c r="BM329" s="178"/>
      <c r="BN329" s="178"/>
      <c r="BO329" s="178"/>
      <c r="BP329" s="178"/>
      <c r="BQ329" s="178"/>
      <c r="BR329" s="178"/>
      <c r="BS329" s="178"/>
      <c r="BT329" s="178"/>
      <c r="BU329" s="178"/>
    </row>
    <row r="330" spans="2:73" ht="15" customHeight="1" x14ac:dyDescent="0.25">
      <c r="B330" s="178"/>
      <c r="C330" s="179"/>
      <c r="D330" s="178"/>
      <c r="E330" s="178"/>
      <c r="F330" s="178"/>
      <c r="G330" s="178"/>
      <c r="H330" s="178"/>
      <c r="I330" s="178"/>
      <c r="J330" s="178"/>
      <c r="K330" s="178"/>
      <c r="L330" s="178"/>
      <c r="M330" s="178"/>
      <c r="N330" s="178"/>
      <c r="O330" s="178"/>
      <c r="P330" s="178"/>
      <c r="Q330" s="178"/>
      <c r="R330" s="178"/>
      <c r="S330" s="178"/>
      <c r="T330" s="178"/>
      <c r="U330" s="178"/>
      <c r="V330" s="178"/>
      <c r="W330" s="178"/>
      <c r="X330" s="178"/>
      <c r="Y330" s="178"/>
      <c r="Z330" s="178"/>
      <c r="AA330" s="178"/>
      <c r="AB330" s="178"/>
      <c r="AC330" s="178"/>
      <c r="AD330" s="178"/>
      <c r="AE330" s="178"/>
      <c r="AF330" s="178"/>
      <c r="AG330" s="178"/>
      <c r="AH330" s="178"/>
      <c r="AI330" s="178"/>
      <c r="AJ330" s="178"/>
      <c r="AK330" s="178"/>
      <c r="AL330" s="178"/>
      <c r="AM330" s="178"/>
      <c r="AN330" s="178"/>
      <c r="AO330" s="178"/>
      <c r="AP330" s="178"/>
      <c r="AQ330" s="178"/>
      <c r="AR330" s="178"/>
      <c r="AS330" s="178"/>
      <c r="AT330" s="178"/>
      <c r="AU330" s="178"/>
      <c r="AV330" s="178"/>
      <c r="AW330" s="178"/>
      <c r="AX330" s="178"/>
      <c r="AY330" s="178"/>
      <c r="AZ330" s="178"/>
      <c r="BA330" s="178"/>
      <c r="BB330" s="178"/>
      <c r="BC330" s="178"/>
      <c r="BD330" s="178"/>
      <c r="BE330" s="178"/>
      <c r="BF330" s="178"/>
      <c r="BG330" s="178"/>
      <c r="BH330" s="178"/>
      <c r="BI330" s="178"/>
      <c r="BJ330" s="178"/>
      <c r="BK330" s="178"/>
      <c r="BL330" s="178"/>
      <c r="BM330" s="178"/>
      <c r="BN330" s="178"/>
      <c r="BO330" s="178"/>
      <c r="BP330" s="178"/>
      <c r="BQ330" s="178"/>
      <c r="BR330" s="178"/>
      <c r="BS330" s="178"/>
      <c r="BT330" s="178"/>
      <c r="BU330" s="178"/>
    </row>
    <row r="331" spans="2:73" ht="15" customHeight="1" x14ac:dyDescent="0.25">
      <c r="B331" s="178"/>
      <c r="C331" s="179"/>
      <c r="D331" s="178"/>
      <c r="E331" s="178"/>
      <c r="F331" s="178"/>
      <c r="G331" s="178"/>
      <c r="H331" s="178"/>
      <c r="I331" s="178"/>
      <c r="J331" s="178"/>
      <c r="K331" s="178"/>
      <c r="L331" s="178"/>
      <c r="M331" s="178"/>
      <c r="N331" s="178"/>
      <c r="O331" s="178"/>
      <c r="P331" s="178"/>
      <c r="Q331" s="178"/>
      <c r="R331" s="178"/>
      <c r="S331" s="178"/>
      <c r="T331" s="178"/>
      <c r="U331" s="178"/>
      <c r="V331" s="178"/>
      <c r="W331" s="178"/>
      <c r="X331" s="178"/>
      <c r="Y331" s="178"/>
      <c r="Z331" s="178"/>
      <c r="AA331" s="178"/>
      <c r="AB331" s="178"/>
      <c r="AC331" s="178"/>
      <c r="AD331" s="178"/>
      <c r="AE331" s="178"/>
      <c r="AF331" s="178"/>
      <c r="AG331" s="178"/>
      <c r="AH331" s="178"/>
      <c r="AI331" s="178"/>
      <c r="AJ331" s="178"/>
      <c r="AK331" s="178"/>
      <c r="AL331" s="178"/>
      <c r="AM331" s="178"/>
      <c r="AN331" s="178"/>
      <c r="AO331" s="178"/>
      <c r="AP331" s="178"/>
      <c r="AQ331" s="178"/>
      <c r="AR331" s="178"/>
      <c r="AS331" s="178"/>
      <c r="AT331" s="178"/>
      <c r="AU331" s="178"/>
      <c r="AV331" s="178"/>
      <c r="AW331" s="178"/>
      <c r="AX331" s="178"/>
      <c r="AY331" s="178"/>
      <c r="AZ331" s="178"/>
      <c r="BA331" s="178"/>
      <c r="BB331" s="178"/>
      <c r="BC331" s="178"/>
      <c r="BD331" s="178"/>
      <c r="BE331" s="178"/>
      <c r="BF331" s="178"/>
      <c r="BG331" s="178"/>
      <c r="BH331" s="178"/>
      <c r="BI331" s="178"/>
      <c r="BJ331" s="178"/>
      <c r="BK331" s="178"/>
      <c r="BL331" s="178"/>
      <c r="BM331" s="178"/>
      <c r="BN331" s="178"/>
      <c r="BO331" s="178"/>
      <c r="BP331" s="178"/>
      <c r="BQ331" s="178"/>
      <c r="BR331" s="178"/>
      <c r="BS331" s="178"/>
      <c r="BT331" s="178"/>
      <c r="BU331" s="178"/>
    </row>
    <row r="332" spans="2:73" ht="15" customHeight="1" x14ac:dyDescent="0.25">
      <c r="B332" s="178"/>
      <c r="C332" s="179"/>
      <c r="D332" s="178"/>
      <c r="E332" s="178"/>
      <c r="F332" s="178"/>
      <c r="G332" s="178"/>
      <c r="H332" s="178"/>
      <c r="I332" s="178"/>
      <c r="J332" s="178"/>
      <c r="K332" s="178"/>
      <c r="L332" s="178"/>
      <c r="M332" s="178"/>
      <c r="N332" s="178"/>
      <c r="O332" s="178"/>
      <c r="P332" s="178"/>
      <c r="Q332" s="178"/>
      <c r="R332" s="178"/>
      <c r="S332" s="178"/>
      <c r="T332" s="178"/>
      <c r="U332" s="178"/>
      <c r="V332" s="178"/>
      <c r="W332" s="178"/>
      <c r="X332" s="178"/>
      <c r="Y332" s="178"/>
      <c r="Z332" s="178"/>
      <c r="AA332" s="178"/>
      <c r="AB332" s="178"/>
      <c r="AC332" s="178"/>
      <c r="AD332" s="178"/>
      <c r="AE332" s="178"/>
      <c r="AF332" s="178"/>
      <c r="AG332" s="178"/>
      <c r="AH332" s="178"/>
      <c r="AI332" s="178"/>
      <c r="AJ332" s="178"/>
      <c r="AK332" s="178"/>
      <c r="AL332" s="178"/>
      <c r="AM332" s="178"/>
      <c r="AN332" s="178"/>
      <c r="AO332" s="178"/>
      <c r="AP332" s="178"/>
      <c r="AQ332" s="178"/>
      <c r="AR332" s="178"/>
      <c r="AS332" s="178"/>
      <c r="AT332" s="178"/>
      <c r="AU332" s="178"/>
      <c r="AV332" s="178"/>
      <c r="AW332" s="178"/>
      <c r="AX332" s="178"/>
      <c r="AY332" s="178"/>
      <c r="AZ332" s="178"/>
      <c r="BA332" s="178"/>
      <c r="BB332" s="178"/>
      <c r="BC332" s="178"/>
      <c r="BD332" s="178"/>
      <c r="BE332" s="178"/>
      <c r="BF332" s="178"/>
      <c r="BG332" s="178"/>
      <c r="BH332" s="178"/>
      <c r="BI332" s="178"/>
      <c r="BJ332" s="178"/>
      <c r="BK332" s="178"/>
      <c r="BL332" s="178"/>
      <c r="BM332" s="178"/>
      <c r="BN332" s="178"/>
      <c r="BO332" s="178"/>
      <c r="BP332" s="178"/>
      <c r="BQ332" s="178"/>
      <c r="BR332" s="178"/>
      <c r="BS332" s="178"/>
      <c r="BT332" s="178"/>
      <c r="BU332" s="178"/>
    </row>
    <row r="333" spans="2:73" ht="15" customHeight="1" x14ac:dyDescent="0.25">
      <c r="B333" s="178"/>
      <c r="C333" s="179"/>
      <c r="D333" s="178"/>
      <c r="E333" s="178"/>
      <c r="F333" s="178"/>
      <c r="G333" s="178"/>
      <c r="H333" s="178"/>
      <c r="I333" s="178"/>
      <c r="J333" s="178"/>
      <c r="K333" s="178"/>
      <c r="L333" s="178"/>
      <c r="M333" s="178"/>
      <c r="N333" s="178"/>
      <c r="O333" s="178"/>
      <c r="P333" s="178"/>
      <c r="Q333" s="178"/>
      <c r="R333" s="178"/>
      <c r="S333" s="178"/>
      <c r="T333" s="178"/>
      <c r="U333" s="178"/>
      <c r="V333" s="178"/>
      <c r="W333" s="178"/>
      <c r="X333" s="178"/>
      <c r="Y333" s="178"/>
      <c r="Z333" s="178"/>
      <c r="AA333" s="178"/>
      <c r="AB333" s="178"/>
      <c r="AC333" s="178"/>
      <c r="AD333" s="178"/>
      <c r="AE333" s="178"/>
      <c r="AF333" s="178"/>
      <c r="AG333" s="178"/>
      <c r="AH333" s="178"/>
      <c r="AI333" s="178"/>
      <c r="AJ333" s="178"/>
      <c r="AK333" s="178"/>
      <c r="AL333" s="178"/>
      <c r="AM333" s="178"/>
      <c r="AN333" s="178"/>
      <c r="AO333" s="178"/>
      <c r="AP333" s="178"/>
      <c r="AQ333" s="178"/>
      <c r="AR333" s="178"/>
      <c r="AS333" s="178"/>
      <c r="AT333" s="178"/>
      <c r="AU333" s="178"/>
      <c r="AV333" s="178"/>
      <c r="AW333" s="178"/>
      <c r="AX333" s="178"/>
      <c r="AY333" s="178"/>
      <c r="AZ333" s="178"/>
      <c r="BA333" s="178"/>
      <c r="BB333" s="178"/>
      <c r="BC333" s="178"/>
      <c r="BD333" s="178"/>
      <c r="BE333" s="178"/>
      <c r="BF333" s="178"/>
      <c r="BG333" s="178"/>
      <c r="BH333" s="178"/>
      <c r="BI333" s="178"/>
      <c r="BJ333" s="178"/>
      <c r="BK333" s="178"/>
      <c r="BL333" s="178"/>
      <c r="BM333" s="178"/>
      <c r="BN333" s="178"/>
      <c r="BO333" s="178"/>
      <c r="BP333" s="178"/>
      <c r="BQ333" s="178"/>
      <c r="BR333" s="178"/>
      <c r="BS333" s="178"/>
      <c r="BT333" s="178"/>
      <c r="BU333" s="178"/>
    </row>
    <row r="334" spans="2:73" ht="15" customHeight="1" x14ac:dyDescent="0.25">
      <c r="B334" s="178"/>
      <c r="C334" s="179"/>
      <c r="D334" s="178"/>
      <c r="E334" s="178"/>
      <c r="F334" s="178"/>
      <c r="G334" s="178"/>
      <c r="H334" s="178"/>
      <c r="I334" s="178"/>
      <c r="J334" s="178"/>
      <c r="K334" s="178"/>
      <c r="L334" s="178"/>
      <c r="M334" s="178"/>
      <c r="N334" s="178"/>
      <c r="O334" s="178"/>
      <c r="P334" s="178"/>
      <c r="Q334" s="178"/>
      <c r="R334" s="178"/>
      <c r="S334" s="178"/>
      <c r="T334" s="178"/>
      <c r="U334" s="178"/>
      <c r="V334" s="178"/>
      <c r="W334" s="178"/>
      <c r="X334" s="178"/>
      <c r="Y334" s="178"/>
      <c r="Z334" s="178"/>
      <c r="AA334" s="178"/>
      <c r="AB334" s="178"/>
      <c r="AC334" s="178"/>
      <c r="AD334" s="178"/>
      <c r="AE334" s="178"/>
      <c r="AF334" s="178"/>
      <c r="AG334" s="178"/>
      <c r="AH334" s="178"/>
      <c r="AI334" s="178"/>
      <c r="AJ334" s="178"/>
      <c r="AK334" s="178"/>
      <c r="AL334" s="178"/>
      <c r="AM334" s="178"/>
      <c r="AN334" s="178"/>
      <c r="AO334" s="178"/>
      <c r="AP334" s="178"/>
      <c r="AQ334" s="178"/>
      <c r="AR334" s="178"/>
      <c r="AS334" s="178"/>
      <c r="AT334" s="178"/>
      <c r="AU334" s="178"/>
      <c r="AV334" s="178"/>
      <c r="AW334" s="178"/>
      <c r="AX334" s="178"/>
      <c r="AY334" s="178"/>
      <c r="AZ334" s="178"/>
      <c r="BA334" s="178"/>
      <c r="BB334" s="178"/>
      <c r="BC334" s="178"/>
      <c r="BD334" s="178"/>
      <c r="BE334" s="178"/>
      <c r="BF334" s="178"/>
      <c r="BG334" s="178"/>
      <c r="BH334" s="178"/>
      <c r="BI334" s="178"/>
      <c r="BJ334" s="178"/>
      <c r="BK334" s="178"/>
      <c r="BL334" s="178"/>
      <c r="BM334" s="178"/>
      <c r="BN334" s="178"/>
      <c r="BO334" s="178"/>
      <c r="BP334" s="178"/>
      <c r="BQ334" s="178"/>
      <c r="BR334" s="178"/>
      <c r="BS334" s="178"/>
      <c r="BT334" s="178"/>
      <c r="BU334" s="178"/>
    </row>
    <row r="335" spans="2:73" ht="15" customHeight="1" x14ac:dyDescent="0.25">
      <c r="B335" s="178"/>
      <c r="C335" s="179"/>
      <c r="D335" s="178"/>
      <c r="E335" s="178"/>
      <c r="F335" s="178"/>
      <c r="G335" s="178"/>
      <c r="H335" s="178"/>
      <c r="I335" s="178"/>
      <c r="J335" s="178"/>
      <c r="K335" s="178"/>
      <c r="L335" s="178"/>
      <c r="M335" s="178"/>
      <c r="N335" s="178"/>
      <c r="O335" s="178"/>
      <c r="P335" s="178"/>
      <c r="Q335" s="178"/>
      <c r="R335" s="178"/>
      <c r="S335" s="178"/>
      <c r="T335" s="178"/>
      <c r="U335" s="178"/>
      <c r="V335" s="178"/>
      <c r="W335" s="178"/>
      <c r="X335" s="178"/>
      <c r="Y335" s="178"/>
      <c r="Z335" s="178"/>
      <c r="AA335" s="178"/>
      <c r="AB335" s="178"/>
      <c r="AC335" s="178"/>
      <c r="AD335" s="178"/>
      <c r="AE335" s="178"/>
      <c r="AF335" s="178"/>
      <c r="AG335" s="178"/>
      <c r="AH335" s="178"/>
      <c r="AI335" s="178"/>
      <c r="AJ335" s="178"/>
      <c r="AK335" s="178"/>
      <c r="AL335" s="178"/>
      <c r="AM335" s="178"/>
      <c r="AN335" s="178"/>
      <c r="AO335" s="178"/>
      <c r="AP335" s="178"/>
      <c r="AQ335" s="178"/>
      <c r="AR335" s="178"/>
      <c r="AS335" s="178"/>
      <c r="AT335" s="178"/>
      <c r="AU335" s="178"/>
      <c r="AV335" s="178"/>
      <c r="AW335" s="178"/>
      <c r="AX335" s="178"/>
      <c r="AY335" s="178"/>
      <c r="AZ335" s="178"/>
      <c r="BA335" s="178"/>
      <c r="BB335" s="178"/>
      <c r="BC335" s="178"/>
      <c r="BD335" s="178"/>
      <c r="BE335" s="178"/>
      <c r="BF335" s="178"/>
      <c r="BG335" s="178"/>
      <c r="BH335" s="178"/>
      <c r="BI335" s="178"/>
      <c r="BJ335" s="178"/>
      <c r="BK335" s="178"/>
      <c r="BL335" s="178"/>
      <c r="BM335" s="178"/>
      <c r="BN335" s="178"/>
      <c r="BO335" s="178"/>
      <c r="BP335" s="178"/>
      <c r="BQ335" s="178"/>
      <c r="BR335" s="178"/>
      <c r="BS335" s="178"/>
      <c r="BT335" s="178"/>
      <c r="BU335" s="178"/>
    </row>
    <row r="336" spans="2:73" ht="15" customHeight="1" x14ac:dyDescent="0.25">
      <c r="B336" s="178"/>
      <c r="C336" s="179"/>
      <c r="D336" s="178"/>
      <c r="E336" s="178"/>
      <c r="F336" s="178"/>
      <c r="G336" s="178"/>
      <c r="H336" s="178"/>
      <c r="I336" s="178"/>
      <c r="J336" s="178"/>
      <c r="K336" s="178"/>
      <c r="L336" s="178"/>
      <c r="M336" s="178"/>
      <c r="N336" s="178"/>
      <c r="O336" s="178"/>
      <c r="P336" s="178"/>
      <c r="Q336" s="178"/>
      <c r="R336" s="178"/>
      <c r="S336" s="178"/>
      <c r="T336" s="178"/>
      <c r="U336" s="178"/>
      <c r="V336" s="178"/>
      <c r="W336" s="178"/>
      <c r="X336" s="178"/>
      <c r="Y336" s="178"/>
      <c r="Z336" s="178"/>
      <c r="AA336" s="178"/>
      <c r="AB336" s="178"/>
      <c r="AC336" s="178"/>
      <c r="AD336" s="178"/>
      <c r="AE336" s="178"/>
      <c r="AF336" s="178"/>
      <c r="AG336" s="178"/>
      <c r="AH336" s="178"/>
      <c r="AI336" s="178"/>
      <c r="AJ336" s="178"/>
      <c r="AK336" s="178"/>
      <c r="AL336" s="178"/>
      <c r="AM336" s="178"/>
      <c r="AN336" s="178"/>
      <c r="AO336" s="178"/>
      <c r="AP336" s="178"/>
      <c r="AQ336" s="178"/>
      <c r="AR336" s="178"/>
      <c r="AS336" s="178"/>
      <c r="AT336" s="178"/>
      <c r="AU336" s="178"/>
      <c r="AV336" s="178"/>
      <c r="AW336" s="178"/>
      <c r="AX336" s="178"/>
      <c r="AY336" s="178"/>
      <c r="AZ336" s="178"/>
      <c r="BA336" s="178"/>
      <c r="BB336" s="178"/>
      <c r="BC336" s="178"/>
      <c r="BD336" s="178"/>
      <c r="BE336" s="178"/>
      <c r="BF336" s="178"/>
      <c r="BG336" s="178"/>
      <c r="BH336" s="178"/>
      <c r="BI336" s="178"/>
      <c r="BJ336" s="178"/>
      <c r="BK336" s="178"/>
      <c r="BL336" s="178"/>
      <c r="BM336" s="178"/>
      <c r="BN336" s="178"/>
      <c r="BO336" s="178"/>
      <c r="BP336" s="178"/>
      <c r="BQ336" s="178"/>
      <c r="BR336" s="178"/>
      <c r="BS336" s="178"/>
      <c r="BT336" s="178"/>
      <c r="BU336" s="178"/>
    </row>
    <row r="337" spans="2:73" ht="15" customHeight="1" x14ac:dyDescent="0.25">
      <c r="B337" s="178"/>
      <c r="C337" s="179"/>
      <c r="D337" s="178"/>
      <c r="E337" s="178"/>
      <c r="F337" s="178"/>
      <c r="G337" s="178"/>
      <c r="H337" s="178"/>
      <c r="I337" s="178"/>
      <c r="J337" s="178"/>
      <c r="K337" s="178"/>
      <c r="L337" s="178"/>
      <c r="M337" s="178"/>
      <c r="N337" s="178"/>
      <c r="O337" s="178"/>
      <c r="P337" s="178"/>
      <c r="Q337" s="178"/>
      <c r="R337" s="178"/>
      <c r="S337" s="178"/>
      <c r="T337" s="178"/>
      <c r="U337" s="178"/>
      <c r="V337" s="178"/>
      <c r="W337" s="178"/>
      <c r="X337" s="178"/>
      <c r="Y337" s="178"/>
      <c r="Z337" s="178"/>
      <c r="AA337" s="178"/>
      <c r="AB337" s="178"/>
      <c r="AC337" s="178"/>
      <c r="AD337" s="178"/>
      <c r="AE337" s="178"/>
      <c r="AF337" s="178"/>
      <c r="AG337" s="178"/>
      <c r="AH337" s="178"/>
      <c r="AI337" s="178"/>
      <c r="AJ337" s="178"/>
      <c r="AK337" s="178"/>
      <c r="AL337" s="178"/>
      <c r="AM337" s="178"/>
      <c r="AN337" s="178"/>
      <c r="AO337" s="178"/>
      <c r="AP337" s="178"/>
      <c r="AQ337" s="178"/>
      <c r="AR337" s="178"/>
      <c r="AS337" s="178"/>
      <c r="AT337" s="178"/>
      <c r="AU337" s="178"/>
      <c r="AV337" s="178"/>
      <c r="AW337" s="178"/>
      <c r="AX337" s="178"/>
      <c r="AY337" s="178"/>
      <c r="AZ337" s="178"/>
      <c r="BA337" s="178"/>
      <c r="BB337" s="178"/>
      <c r="BC337" s="178"/>
      <c r="BD337" s="178"/>
      <c r="BE337" s="178"/>
      <c r="BF337" s="178"/>
      <c r="BG337" s="178"/>
      <c r="BH337" s="178"/>
      <c r="BI337" s="178"/>
      <c r="BJ337" s="178"/>
      <c r="BK337" s="178"/>
      <c r="BL337" s="178"/>
      <c r="BM337" s="178"/>
      <c r="BN337" s="178"/>
      <c r="BO337" s="178"/>
      <c r="BP337" s="178"/>
      <c r="BQ337" s="178"/>
      <c r="BR337" s="178"/>
      <c r="BS337" s="178"/>
      <c r="BT337" s="178"/>
      <c r="BU337" s="178"/>
    </row>
    <row r="338" spans="2:73" ht="15" customHeight="1" x14ac:dyDescent="0.25">
      <c r="B338" s="178"/>
      <c r="C338" s="179"/>
      <c r="D338" s="178"/>
      <c r="E338" s="178"/>
      <c r="F338" s="178"/>
      <c r="G338" s="178"/>
      <c r="H338" s="178"/>
      <c r="I338" s="178"/>
      <c r="J338" s="178"/>
      <c r="K338" s="178"/>
      <c r="L338" s="178"/>
      <c r="M338" s="178"/>
      <c r="N338" s="178"/>
      <c r="O338" s="178"/>
      <c r="P338" s="178"/>
      <c r="Q338" s="178"/>
      <c r="R338" s="178"/>
      <c r="S338" s="178"/>
      <c r="T338" s="178"/>
      <c r="U338" s="178"/>
      <c r="V338" s="178"/>
      <c r="W338" s="178"/>
      <c r="X338" s="178"/>
      <c r="Y338" s="178"/>
      <c r="Z338" s="178"/>
      <c r="AA338" s="178"/>
      <c r="AB338" s="178"/>
      <c r="AC338" s="178"/>
      <c r="AD338" s="178"/>
      <c r="AE338" s="178"/>
      <c r="AF338" s="178"/>
      <c r="AG338" s="178"/>
      <c r="AH338" s="178"/>
      <c r="AI338" s="178"/>
      <c r="AJ338" s="178"/>
      <c r="AK338" s="178"/>
      <c r="AL338" s="178"/>
      <c r="AM338" s="178"/>
      <c r="AN338" s="178"/>
      <c r="AO338" s="178"/>
      <c r="AP338" s="178"/>
      <c r="AQ338" s="178"/>
      <c r="AR338" s="178"/>
      <c r="AS338" s="178"/>
      <c r="AT338" s="178"/>
      <c r="AU338" s="178"/>
      <c r="AV338" s="178"/>
      <c r="AW338" s="178"/>
      <c r="AX338" s="178"/>
      <c r="AY338" s="178"/>
      <c r="AZ338" s="178"/>
      <c r="BA338" s="178"/>
      <c r="BB338" s="178"/>
      <c r="BC338" s="178"/>
      <c r="BD338" s="178"/>
      <c r="BE338" s="178"/>
      <c r="BF338" s="178"/>
      <c r="BG338" s="178"/>
      <c r="BH338" s="178"/>
      <c r="BI338" s="178"/>
      <c r="BJ338" s="178"/>
      <c r="BK338" s="178"/>
      <c r="BL338" s="178"/>
      <c r="BM338" s="178"/>
      <c r="BN338" s="178"/>
      <c r="BO338" s="178"/>
      <c r="BP338" s="178"/>
      <c r="BQ338" s="178"/>
      <c r="BR338" s="178"/>
      <c r="BS338" s="178"/>
      <c r="BT338" s="178"/>
      <c r="BU338" s="178"/>
    </row>
    <row r="339" spans="2:73" ht="15" customHeight="1" x14ac:dyDescent="0.25">
      <c r="B339" s="178"/>
      <c r="C339" s="179"/>
      <c r="D339" s="178"/>
      <c r="E339" s="178"/>
      <c r="F339" s="178"/>
      <c r="G339" s="178"/>
      <c r="H339" s="178"/>
      <c r="I339" s="178"/>
      <c r="J339" s="178"/>
      <c r="K339" s="178"/>
      <c r="L339" s="178"/>
      <c r="M339" s="178"/>
      <c r="N339" s="178"/>
      <c r="O339" s="178"/>
      <c r="P339" s="178"/>
      <c r="Q339" s="178"/>
      <c r="R339" s="178"/>
      <c r="S339" s="178"/>
      <c r="T339" s="178"/>
      <c r="U339" s="178"/>
      <c r="V339" s="178"/>
      <c r="W339" s="178"/>
      <c r="X339" s="178"/>
      <c r="Y339" s="178"/>
      <c r="Z339" s="178"/>
      <c r="AA339" s="178"/>
      <c r="AB339" s="178"/>
      <c r="AC339" s="178"/>
      <c r="AD339" s="178"/>
      <c r="AE339" s="178"/>
      <c r="AF339" s="178"/>
      <c r="AG339" s="178"/>
      <c r="AH339" s="178"/>
      <c r="AI339" s="178"/>
      <c r="AJ339" s="178"/>
      <c r="AK339" s="178"/>
      <c r="AL339" s="178"/>
      <c r="AM339" s="178"/>
      <c r="AN339" s="178"/>
      <c r="AO339" s="178"/>
      <c r="AP339" s="178"/>
      <c r="AQ339" s="178"/>
      <c r="AR339" s="178"/>
      <c r="AS339" s="178"/>
      <c r="AT339" s="178"/>
      <c r="AU339" s="178"/>
      <c r="AV339" s="178"/>
      <c r="AW339" s="178"/>
      <c r="AX339" s="178"/>
      <c r="AY339" s="178"/>
      <c r="AZ339" s="178"/>
      <c r="BA339" s="178"/>
      <c r="BB339" s="178"/>
      <c r="BC339" s="178"/>
      <c r="BD339" s="178"/>
      <c r="BE339" s="178"/>
      <c r="BF339" s="178"/>
      <c r="BG339" s="178"/>
      <c r="BH339" s="178"/>
      <c r="BI339" s="178"/>
      <c r="BJ339" s="178"/>
      <c r="BK339" s="178"/>
      <c r="BL339" s="178"/>
      <c r="BM339" s="178"/>
      <c r="BN339" s="178"/>
      <c r="BO339" s="178"/>
      <c r="BP339" s="178"/>
      <c r="BQ339" s="178"/>
      <c r="BR339" s="178"/>
      <c r="BS339" s="178"/>
      <c r="BT339" s="178"/>
      <c r="BU339" s="178"/>
    </row>
    <row r="340" spans="2:73" ht="15" customHeight="1" x14ac:dyDescent="0.25">
      <c r="B340" s="178"/>
      <c r="C340" s="179"/>
      <c r="D340" s="178"/>
      <c r="E340" s="178"/>
      <c r="F340" s="178"/>
      <c r="G340" s="178"/>
      <c r="H340" s="178"/>
      <c r="I340" s="178"/>
      <c r="J340" s="178"/>
      <c r="K340" s="178"/>
      <c r="L340" s="178"/>
      <c r="M340" s="178"/>
      <c r="N340" s="178"/>
      <c r="O340" s="178"/>
      <c r="P340" s="178"/>
      <c r="Q340" s="178"/>
      <c r="R340" s="178"/>
      <c r="S340" s="178"/>
      <c r="T340" s="178"/>
      <c r="U340" s="178"/>
      <c r="V340" s="178"/>
      <c r="W340" s="178"/>
      <c r="X340" s="178"/>
      <c r="Y340" s="178"/>
      <c r="Z340" s="178"/>
      <c r="AA340" s="178"/>
      <c r="AB340" s="178"/>
      <c r="AC340" s="178"/>
      <c r="AD340" s="178"/>
      <c r="AE340" s="178"/>
      <c r="AF340" s="178"/>
      <c r="AG340" s="178"/>
      <c r="AH340" s="178"/>
      <c r="AI340" s="178"/>
      <c r="AJ340" s="178"/>
      <c r="AK340" s="178"/>
      <c r="AL340" s="178"/>
      <c r="AM340" s="178"/>
      <c r="AN340" s="178"/>
      <c r="AO340" s="178"/>
      <c r="AP340" s="178"/>
      <c r="AQ340" s="178"/>
      <c r="AR340" s="178"/>
      <c r="AS340" s="178"/>
      <c r="AT340" s="178"/>
      <c r="AU340" s="178"/>
      <c r="AV340" s="178"/>
      <c r="AW340" s="178"/>
      <c r="AX340" s="178"/>
      <c r="AY340" s="178"/>
      <c r="AZ340" s="178"/>
      <c r="BA340" s="178"/>
      <c r="BB340" s="178"/>
      <c r="BC340" s="178"/>
      <c r="BD340" s="178"/>
      <c r="BE340" s="178"/>
      <c r="BF340" s="178"/>
      <c r="BG340" s="178"/>
      <c r="BH340" s="178"/>
      <c r="BI340" s="178"/>
      <c r="BJ340" s="178"/>
      <c r="BK340" s="178"/>
      <c r="BL340" s="178"/>
      <c r="BM340" s="178"/>
      <c r="BN340" s="178"/>
      <c r="BO340" s="178"/>
      <c r="BP340" s="178"/>
      <c r="BQ340" s="178"/>
      <c r="BR340" s="178"/>
      <c r="BS340" s="178"/>
      <c r="BT340" s="178"/>
      <c r="BU340" s="178"/>
    </row>
    <row r="341" spans="2:73" ht="15" customHeight="1" x14ac:dyDescent="0.25">
      <c r="B341" s="178"/>
      <c r="C341" s="179"/>
      <c r="D341" s="178"/>
      <c r="E341" s="178"/>
      <c r="F341" s="178"/>
      <c r="G341" s="178"/>
      <c r="H341" s="178"/>
      <c r="I341" s="178"/>
      <c r="J341" s="178"/>
      <c r="K341" s="178"/>
      <c r="L341" s="178"/>
      <c r="M341" s="178"/>
      <c r="N341" s="178"/>
      <c r="O341" s="178"/>
      <c r="P341" s="178"/>
      <c r="Q341" s="178"/>
      <c r="R341" s="178"/>
      <c r="S341" s="178"/>
      <c r="T341" s="178"/>
      <c r="U341" s="178"/>
      <c r="V341" s="178"/>
      <c r="W341" s="178"/>
      <c r="X341" s="178"/>
      <c r="Y341" s="178"/>
      <c r="Z341" s="178"/>
      <c r="AA341" s="178"/>
      <c r="AB341" s="178"/>
      <c r="AC341" s="178"/>
      <c r="AD341" s="178"/>
      <c r="AE341" s="178"/>
      <c r="AF341" s="178"/>
      <c r="AG341" s="178"/>
      <c r="AH341" s="178"/>
      <c r="AI341" s="178"/>
      <c r="AJ341" s="178"/>
      <c r="AK341" s="178"/>
      <c r="AL341" s="178"/>
      <c r="AM341" s="178"/>
      <c r="AN341" s="178"/>
      <c r="AO341" s="178"/>
      <c r="AP341" s="178"/>
      <c r="AQ341" s="178"/>
      <c r="AR341" s="178"/>
      <c r="AS341" s="178"/>
      <c r="AT341" s="178"/>
      <c r="AU341" s="178"/>
      <c r="AV341" s="178"/>
      <c r="AW341" s="178"/>
      <c r="AX341" s="178"/>
      <c r="AY341" s="178"/>
      <c r="AZ341" s="178"/>
      <c r="BA341" s="178"/>
      <c r="BB341" s="178"/>
      <c r="BC341" s="178"/>
      <c r="BD341" s="178"/>
      <c r="BE341" s="178"/>
      <c r="BF341" s="178"/>
      <c r="BG341" s="178"/>
      <c r="BH341" s="178"/>
      <c r="BI341" s="178"/>
      <c r="BJ341" s="178"/>
      <c r="BK341" s="178"/>
      <c r="BL341" s="178"/>
      <c r="BM341" s="178"/>
      <c r="BN341" s="178"/>
      <c r="BO341" s="178"/>
      <c r="BP341" s="178"/>
      <c r="BQ341" s="178"/>
      <c r="BR341" s="178"/>
      <c r="BS341" s="178"/>
      <c r="BT341" s="178"/>
      <c r="BU341" s="178"/>
    </row>
    <row r="342" spans="2:73" ht="15" customHeight="1" x14ac:dyDescent="0.25">
      <c r="B342" s="178"/>
      <c r="C342" s="179"/>
      <c r="D342" s="178"/>
      <c r="E342" s="178"/>
      <c r="F342" s="178"/>
      <c r="G342" s="178"/>
      <c r="H342" s="178"/>
      <c r="I342" s="178"/>
      <c r="J342" s="178"/>
      <c r="K342" s="178"/>
      <c r="L342" s="178"/>
      <c r="M342" s="178"/>
      <c r="N342" s="178"/>
      <c r="O342" s="178"/>
      <c r="P342" s="178"/>
      <c r="Q342" s="178"/>
      <c r="R342" s="178"/>
      <c r="S342" s="178"/>
      <c r="T342" s="178"/>
      <c r="U342" s="178"/>
      <c r="V342" s="178"/>
      <c r="W342" s="178"/>
      <c r="X342" s="178"/>
      <c r="Y342" s="178"/>
      <c r="Z342" s="178"/>
      <c r="AA342" s="178"/>
      <c r="AB342" s="178"/>
      <c r="AC342" s="178"/>
      <c r="AD342" s="178"/>
      <c r="AE342" s="178"/>
      <c r="AF342" s="178"/>
      <c r="AG342" s="178"/>
      <c r="AH342" s="178"/>
      <c r="AI342" s="178"/>
      <c r="AJ342" s="178"/>
      <c r="AK342" s="178"/>
      <c r="AL342" s="178"/>
      <c r="AM342" s="178"/>
      <c r="AN342" s="178"/>
      <c r="AO342" s="178"/>
      <c r="AP342" s="178"/>
      <c r="AQ342" s="178"/>
      <c r="AR342" s="178"/>
      <c r="AS342" s="178"/>
      <c r="AT342" s="178"/>
      <c r="AU342" s="178"/>
      <c r="AV342" s="178"/>
      <c r="AW342" s="178"/>
      <c r="AX342" s="178"/>
      <c r="AY342" s="178"/>
      <c r="AZ342" s="178"/>
      <c r="BA342" s="178"/>
      <c r="BB342" s="178"/>
      <c r="BC342" s="178"/>
      <c r="BD342" s="178"/>
      <c r="BE342" s="178"/>
      <c r="BF342" s="178"/>
      <c r="BG342" s="178"/>
      <c r="BH342" s="178"/>
      <c r="BI342" s="178"/>
      <c r="BJ342" s="178"/>
      <c r="BK342" s="178"/>
      <c r="BL342" s="178"/>
      <c r="BM342" s="178"/>
      <c r="BN342" s="178"/>
      <c r="BO342" s="178"/>
      <c r="BP342" s="178"/>
      <c r="BQ342" s="178"/>
      <c r="BR342" s="178"/>
      <c r="BS342" s="178"/>
      <c r="BT342" s="178"/>
      <c r="BU342" s="178"/>
    </row>
    <row r="343" spans="2:73" ht="15" customHeight="1" x14ac:dyDescent="0.25">
      <c r="B343" s="178"/>
      <c r="C343" s="179"/>
      <c r="D343" s="178"/>
      <c r="E343" s="178"/>
      <c r="F343" s="178"/>
      <c r="G343" s="178"/>
      <c r="H343" s="178"/>
      <c r="I343" s="178"/>
      <c r="J343" s="178"/>
      <c r="K343" s="178"/>
      <c r="L343" s="178"/>
      <c r="M343" s="178"/>
      <c r="N343" s="178"/>
      <c r="O343" s="178"/>
      <c r="P343" s="178"/>
      <c r="Q343" s="178"/>
      <c r="R343" s="178"/>
      <c r="S343" s="178"/>
      <c r="T343" s="178"/>
      <c r="U343" s="178"/>
      <c r="V343" s="178"/>
      <c r="W343" s="178"/>
      <c r="X343" s="178"/>
      <c r="Y343" s="178"/>
      <c r="Z343" s="178"/>
      <c r="AA343" s="178"/>
      <c r="AB343" s="178"/>
      <c r="AC343" s="178"/>
      <c r="AD343" s="178"/>
      <c r="AE343" s="178"/>
      <c r="AF343" s="178"/>
      <c r="AG343" s="178"/>
      <c r="AH343" s="178"/>
      <c r="AI343" s="178"/>
      <c r="AJ343" s="178"/>
      <c r="AK343" s="178"/>
      <c r="AL343" s="178"/>
      <c r="AM343" s="178"/>
      <c r="AN343" s="178"/>
      <c r="AO343" s="178"/>
      <c r="AP343" s="178"/>
      <c r="AQ343" s="178"/>
      <c r="AR343" s="178"/>
      <c r="AS343" s="178"/>
      <c r="AT343" s="178"/>
      <c r="AU343" s="178"/>
      <c r="AV343" s="178"/>
      <c r="AW343" s="178"/>
      <c r="AX343" s="178"/>
      <c r="AY343" s="178"/>
      <c r="AZ343" s="178"/>
      <c r="BA343" s="178"/>
      <c r="BB343" s="178"/>
      <c r="BC343" s="178"/>
      <c r="BD343" s="178"/>
      <c r="BE343" s="178"/>
      <c r="BF343" s="178"/>
      <c r="BG343" s="178"/>
      <c r="BH343" s="178"/>
      <c r="BI343" s="178"/>
      <c r="BJ343" s="178"/>
      <c r="BK343" s="178"/>
      <c r="BL343" s="178"/>
      <c r="BM343" s="178"/>
      <c r="BN343" s="178"/>
      <c r="BO343" s="178"/>
      <c r="BP343" s="178"/>
      <c r="BQ343" s="178"/>
      <c r="BR343" s="178"/>
      <c r="BS343" s="178"/>
      <c r="BT343" s="178"/>
      <c r="BU343" s="178"/>
    </row>
    <row r="344" spans="2:73" ht="15" customHeight="1" x14ac:dyDescent="0.25">
      <c r="B344" s="178"/>
      <c r="C344" s="179"/>
      <c r="D344" s="178"/>
      <c r="E344" s="178"/>
      <c r="F344" s="178"/>
      <c r="G344" s="178"/>
      <c r="H344" s="178"/>
      <c r="I344" s="178"/>
      <c r="J344" s="178"/>
      <c r="K344" s="178"/>
      <c r="L344" s="178"/>
      <c r="M344" s="178"/>
      <c r="N344" s="178"/>
      <c r="O344" s="178"/>
      <c r="P344" s="178"/>
      <c r="Q344" s="178"/>
      <c r="R344" s="178"/>
      <c r="S344" s="178"/>
      <c r="T344" s="178"/>
      <c r="U344" s="178"/>
      <c r="V344" s="178"/>
      <c r="W344" s="178"/>
      <c r="X344" s="178"/>
      <c r="Y344" s="178"/>
      <c r="Z344" s="178"/>
      <c r="AA344" s="178"/>
      <c r="AB344" s="178"/>
      <c r="AC344" s="178"/>
      <c r="AD344" s="178"/>
      <c r="AE344" s="178"/>
      <c r="AF344" s="178"/>
      <c r="AG344" s="178"/>
      <c r="AH344" s="178"/>
      <c r="AI344" s="178"/>
      <c r="AJ344" s="178"/>
      <c r="AK344" s="178"/>
      <c r="AL344" s="178"/>
      <c r="AM344" s="178"/>
      <c r="AN344" s="178"/>
      <c r="AO344" s="178"/>
      <c r="AP344" s="178"/>
      <c r="AQ344" s="178"/>
      <c r="AR344" s="178"/>
      <c r="AS344" s="178"/>
      <c r="AT344" s="178"/>
      <c r="AU344" s="178"/>
      <c r="AV344" s="178"/>
      <c r="AW344" s="178"/>
      <c r="AX344" s="178"/>
      <c r="AY344" s="178"/>
      <c r="AZ344" s="178"/>
      <c r="BA344" s="178"/>
      <c r="BB344" s="178"/>
      <c r="BC344" s="178"/>
      <c r="BD344" s="178"/>
      <c r="BE344" s="178"/>
      <c r="BF344" s="178"/>
      <c r="BG344" s="178"/>
      <c r="BH344" s="178"/>
      <c r="BI344" s="178"/>
      <c r="BJ344" s="178"/>
      <c r="BK344" s="178"/>
      <c r="BL344" s="178"/>
      <c r="BM344" s="178"/>
      <c r="BN344" s="178"/>
      <c r="BO344" s="178"/>
      <c r="BP344" s="178"/>
      <c r="BQ344" s="178"/>
      <c r="BR344" s="178"/>
      <c r="BS344" s="178"/>
      <c r="BT344" s="178"/>
      <c r="BU344" s="178"/>
    </row>
    <row r="345" spans="2:73" ht="15" customHeight="1" x14ac:dyDescent="0.25">
      <c r="B345" s="178"/>
      <c r="C345" s="179"/>
      <c r="D345" s="178"/>
      <c r="E345" s="178"/>
      <c r="F345" s="178"/>
      <c r="G345" s="178"/>
      <c r="H345" s="178"/>
      <c r="I345" s="178"/>
      <c r="J345" s="178"/>
      <c r="K345" s="178"/>
      <c r="L345" s="178"/>
      <c r="M345" s="178"/>
      <c r="N345" s="178"/>
      <c r="O345" s="178"/>
      <c r="P345" s="178"/>
      <c r="Q345" s="178"/>
      <c r="R345" s="178"/>
      <c r="S345" s="178"/>
      <c r="T345" s="178"/>
      <c r="U345" s="178"/>
      <c r="V345" s="178"/>
      <c r="W345" s="178"/>
      <c r="X345" s="178"/>
      <c r="Y345" s="178"/>
      <c r="Z345" s="178"/>
      <c r="AA345" s="178"/>
      <c r="AB345" s="178"/>
      <c r="AC345" s="178"/>
      <c r="AD345" s="178"/>
      <c r="AE345" s="178"/>
      <c r="AF345" s="178"/>
      <c r="AG345" s="178"/>
      <c r="AH345" s="178"/>
      <c r="AI345" s="178"/>
      <c r="AJ345" s="178"/>
      <c r="AK345" s="178"/>
      <c r="AL345" s="178"/>
      <c r="AM345" s="178"/>
      <c r="AN345" s="178"/>
      <c r="AO345" s="178"/>
      <c r="AP345" s="178"/>
      <c r="AQ345" s="178"/>
      <c r="AR345" s="178"/>
      <c r="AS345" s="178"/>
      <c r="AT345" s="178"/>
      <c r="AU345" s="178"/>
      <c r="AV345" s="178"/>
      <c r="AW345" s="178"/>
      <c r="AX345" s="178"/>
      <c r="AY345" s="178"/>
      <c r="AZ345" s="178"/>
      <c r="BA345" s="178"/>
      <c r="BB345" s="178"/>
      <c r="BC345" s="178"/>
      <c r="BD345" s="178"/>
      <c r="BE345" s="178"/>
      <c r="BF345" s="178"/>
      <c r="BG345" s="178"/>
      <c r="BH345" s="178"/>
      <c r="BI345" s="178"/>
      <c r="BJ345" s="178"/>
      <c r="BK345" s="178"/>
      <c r="BL345" s="178"/>
      <c r="BM345" s="178"/>
      <c r="BN345" s="178"/>
      <c r="BO345" s="178"/>
      <c r="BP345" s="178"/>
      <c r="BQ345" s="178"/>
      <c r="BR345" s="178"/>
      <c r="BS345" s="178"/>
      <c r="BT345" s="178"/>
      <c r="BU345" s="178"/>
    </row>
    <row r="346" spans="2:73" ht="15" customHeight="1" x14ac:dyDescent="0.25">
      <c r="B346" s="178"/>
      <c r="C346" s="179"/>
      <c r="D346" s="178"/>
      <c r="E346" s="178"/>
      <c r="F346" s="178"/>
      <c r="G346" s="178"/>
      <c r="H346" s="178"/>
      <c r="I346" s="178"/>
      <c r="J346" s="178"/>
      <c r="K346" s="178"/>
      <c r="L346" s="178"/>
      <c r="M346" s="178"/>
      <c r="N346" s="178"/>
      <c r="O346" s="178"/>
      <c r="P346" s="178"/>
      <c r="Q346" s="178"/>
      <c r="R346" s="178"/>
      <c r="S346" s="178"/>
      <c r="T346" s="178"/>
      <c r="U346" s="178"/>
      <c r="V346" s="178"/>
      <c r="W346" s="178"/>
      <c r="X346" s="178"/>
      <c r="Y346" s="178"/>
      <c r="Z346" s="178"/>
      <c r="AA346" s="178"/>
      <c r="AB346" s="178"/>
      <c r="AC346" s="178"/>
      <c r="AD346" s="178"/>
      <c r="AE346" s="178"/>
      <c r="AF346" s="178"/>
      <c r="AG346" s="178"/>
      <c r="AH346" s="178"/>
      <c r="AI346" s="178"/>
      <c r="AJ346" s="178"/>
      <c r="AK346" s="178"/>
      <c r="AL346" s="178"/>
      <c r="AM346" s="178"/>
      <c r="AN346" s="178"/>
      <c r="AO346" s="178"/>
      <c r="AP346" s="178"/>
      <c r="AQ346" s="178"/>
      <c r="AR346" s="178"/>
      <c r="AS346" s="178"/>
      <c r="AT346" s="178"/>
      <c r="AU346" s="178"/>
      <c r="AV346" s="178"/>
      <c r="AW346" s="178"/>
      <c r="AX346" s="178"/>
      <c r="AY346" s="178"/>
      <c r="AZ346" s="178"/>
      <c r="BA346" s="178"/>
      <c r="BB346" s="178"/>
      <c r="BC346" s="178"/>
      <c r="BD346" s="178"/>
      <c r="BE346" s="178"/>
      <c r="BF346" s="178"/>
      <c r="BG346" s="178"/>
      <c r="BH346" s="178"/>
      <c r="BI346" s="178"/>
      <c r="BJ346" s="178"/>
      <c r="BK346" s="178"/>
      <c r="BL346" s="178"/>
      <c r="BM346" s="178"/>
      <c r="BN346" s="178"/>
      <c r="BO346" s="178"/>
      <c r="BP346" s="178"/>
      <c r="BQ346" s="178"/>
      <c r="BR346" s="178"/>
      <c r="BS346" s="178"/>
      <c r="BT346" s="178"/>
      <c r="BU346" s="178"/>
    </row>
    <row r="347" spans="2:73" ht="15" customHeight="1" x14ac:dyDescent="0.25">
      <c r="B347" s="178"/>
      <c r="C347" s="179"/>
      <c r="D347" s="178"/>
      <c r="E347" s="178"/>
      <c r="F347" s="178"/>
      <c r="G347" s="178"/>
      <c r="H347" s="178"/>
      <c r="I347" s="178"/>
      <c r="J347" s="178"/>
      <c r="K347" s="178"/>
      <c r="L347" s="178"/>
      <c r="M347" s="178"/>
      <c r="N347" s="178"/>
      <c r="O347" s="178"/>
      <c r="P347" s="178"/>
      <c r="Q347" s="178"/>
      <c r="R347" s="178"/>
      <c r="S347" s="178"/>
      <c r="T347" s="178"/>
      <c r="U347" s="178"/>
      <c r="V347" s="178"/>
      <c r="W347" s="178"/>
      <c r="X347" s="178"/>
      <c r="Y347" s="178"/>
      <c r="Z347" s="178"/>
      <c r="AA347" s="178"/>
      <c r="AB347" s="178"/>
      <c r="AC347" s="178"/>
      <c r="AD347" s="178"/>
      <c r="AE347" s="178"/>
      <c r="AF347" s="178"/>
      <c r="AG347" s="178"/>
      <c r="AH347" s="178"/>
      <c r="AI347" s="178"/>
      <c r="AJ347" s="178"/>
      <c r="AK347" s="178"/>
      <c r="AL347" s="178"/>
      <c r="AM347" s="178"/>
      <c r="AN347" s="178"/>
      <c r="AO347" s="178"/>
      <c r="AP347" s="178"/>
      <c r="AQ347" s="178"/>
      <c r="AR347" s="178"/>
      <c r="AS347" s="178"/>
      <c r="AT347" s="178"/>
      <c r="AU347" s="178"/>
      <c r="AV347" s="178"/>
      <c r="AW347" s="178"/>
      <c r="AX347" s="178"/>
      <c r="AY347" s="178"/>
      <c r="AZ347" s="178"/>
      <c r="BA347" s="178"/>
      <c r="BB347" s="178"/>
      <c r="BC347" s="178"/>
      <c r="BD347" s="178"/>
      <c r="BE347" s="178"/>
      <c r="BF347" s="178"/>
      <c r="BG347" s="178"/>
      <c r="BH347" s="178"/>
      <c r="BI347" s="178"/>
      <c r="BJ347" s="178"/>
      <c r="BK347" s="178"/>
      <c r="BL347" s="178"/>
      <c r="BM347" s="178"/>
      <c r="BN347" s="178"/>
      <c r="BO347" s="178"/>
      <c r="BP347" s="178"/>
      <c r="BQ347" s="178"/>
      <c r="BR347" s="178"/>
      <c r="BS347" s="178"/>
      <c r="BT347" s="178"/>
      <c r="BU347" s="178"/>
    </row>
    <row r="348" spans="2:73" ht="15" customHeight="1" x14ac:dyDescent="0.25">
      <c r="B348" s="178"/>
      <c r="C348" s="179"/>
      <c r="D348" s="178"/>
      <c r="E348" s="178"/>
      <c r="F348" s="178"/>
      <c r="G348" s="178"/>
      <c r="H348" s="178"/>
      <c r="I348" s="178"/>
      <c r="J348" s="178"/>
      <c r="K348" s="178"/>
      <c r="L348" s="178"/>
      <c r="M348" s="178"/>
      <c r="N348" s="178"/>
      <c r="O348" s="178"/>
      <c r="P348" s="178"/>
      <c r="Q348" s="178"/>
      <c r="R348" s="178"/>
      <c r="S348" s="178"/>
      <c r="T348" s="178"/>
      <c r="U348" s="178"/>
      <c r="V348" s="178"/>
      <c r="W348" s="178"/>
      <c r="X348" s="178"/>
      <c r="Y348" s="178"/>
      <c r="Z348" s="178"/>
      <c r="AA348" s="178"/>
      <c r="AB348" s="178"/>
      <c r="AC348" s="178"/>
      <c r="AD348" s="178"/>
      <c r="AE348" s="178"/>
      <c r="AF348" s="178"/>
      <c r="AG348" s="178"/>
      <c r="AH348" s="178"/>
      <c r="AI348" s="178"/>
      <c r="AJ348" s="178"/>
      <c r="AK348" s="178"/>
      <c r="AL348" s="178"/>
      <c r="AM348" s="178"/>
      <c r="AN348" s="178"/>
      <c r="AO348" s="178"/>
      <c r="AP348" s="178"/>
      <c r="AQ348" s="178"/>
      <c r="AR348" s="178"/>
      <c r="AS348" s="178"/>
      <c r="AT348" s="178"/>
      <c r="AU348" s="178"/>
      <c r="AV348" s="178"/>
      <c r="AW348" s="178"/>
      <c r="AX348" s="178"/>
      <c r="AY348" s="178"/>
      <c r="AZ348" s="178"/>
      <c r="BA348" s="178"/>
      <c r="BB348" s="178"/>
      <c r="BC348" s="178"/>
      <c r="BD348" s="178"/>
      <c r="BE348" s="178"/>
      <c r="BF348" s="178"/>
      <c r="BG348" s="178"/>
      <c r="BH348" s="178"/>
      <c r="BI348" s="178"/>
      <c r="BJ348" s="178"/>
      <c r="BK348" s="178"/>
      <c r="BL348" s="178"/>
      <c r="BM348" s="178"/>
      <c r="BN348" s="178"/>
      <c r="BO348" s="178"/>
      <c r="BP348" s="178"/>
      <c r="BQ348" s="178"/>
      <c r="BR348" s="178"/>
      <c r="BS348" s="178"/>
      <c r="BT348" s="178"/>
      <c r="BU348" s="178"/>
    </row>
    <row r="349" spans="2:73" ht="15" customHeight="1" x14ac:dyDescent="0.25">
      <c r="B349" s="178"/>
      <c r="C349" s="179"/>
      <c r="D349" s="178"/>
      <c r="E349" s="178"/>
      <c r="F349" s="178"/>
      <c r="G349" s="178"/>
      <c r="H349" s="178"/>
      <c r="I349" s="178"/>
      <c r="J349" s="178"/>
      <c r="K349" s="178"/>
      <c r="L349" s="178"/>
      <c r="M349" s="178"/>
      <c r="N349" s="178"/>
      <c r="O349" s="178"/>
      <c r="P349" s="178"/>
      <c r="Q349" s="178"/>
      <c r="R349" s="178"/>
      <c r="S349" s="178"/>
      <c r="T349" s="178"/>
      <c r="U349" s="178"/>
      <c r="V349" s="178"/>
      <c r="W349" s="178"/>
      <c r="X349" s="178"/>
      <c r="Y349" s="178"/>
      <c r="Z349" s="178"/>
      <c r="AA349" s="178"/>
      <c r="AB349" s="178"/>
      <c r="AC349" s="178"/>
      <c r="AD349" s="178"/>
      <c r="AE349" s="178"/>
      <c r="AF349" s="178"/>
      <c r="AG349" s="178"/>
      <c r="AH349" s="178"/>
      <c r="AI349" s="178"/>
      <c r="AJ349" s="178"/>
      <c r="AK349" s="178"/>
      <c r="AL349" s="178"/>
      <c r="AM349" s="178"/>
      <c r="AN349" s="178"/>
      <c r="AO349" s="178"/>
      <c r="AP349" s="178"/>
      <c r="AQ349" s="178"/>
      <c r="AR349" s="178"/>
      <c r="AS349" s="178"/>
      <c r="AT349" s="178"/>
      <c r="AU349" s="178"/>
      <c r="AV349" s="178"/>
      <c r="AW349" s="178"/>
      <c r="AX349" s="178"/>
      <c r="AY349" s="178"/>
      <c r="AZ349" s="178"/>
      <c r="BA349" s="178"/>
      <c r="BB349" s="178"/>
      <c r="BC349" s="178"/>
      <c r="BD349" s="178"/>
      <c r="BE349" s="178"/>
      <c r="BF349" s="178"/>
      <c r="BG349" s="178"/>
      <c r="BH349" s="178"/>
      <c r="BI349" s="178"/>
      <c r="BJ349" s="178"/>
      <c r="BK349" s="178"/>
      <c r="BL349" s="178"/>
      <c r="BM349" s="178"/>
      <c r="BN349" s="178"/>
      <c r="BO349" s="178"/>
      <c r="BP349" s="178"/>
      <c r="BQ349" s="178"/>
      <c r="BR349" s="178"/>
      <c r="BS349" s="178"/>
      <c r="BT349" s="178"/>
      <c r="BU349" s="178"/>
    </row>
    <row r="350" spans="2:73" ht="15" customHeight="1" x14ac:dyDescent="0.25">
      <c r="B350" s="178"/>
      <c r="C350" s="179"/>
      <c r="D350" s="178"/>
      <c r="E350" s="178"/>
      <c r="F350" s="178"/>
      <c r="G350" s="178"/>
      <c r="H350" s="178"/>
      <c r="I350" s="178"/>
      <c r="J350" s="178"/>
      <c r="K350" s="178"/>
      <c r="L350" s="178"/>
      <c r="M350" s="178"/>
      <c r="N350" s="178"/>
      <c r="O350" s="178"/>
      <c r="P350" s="178"/>
      <c r="Q350" s="178"/>
      <c r="R350" s="178"/>
      <c r="S350" s="178"/>
      <c r="T350" s="178"/>
      <c r="U350" s="178"/>
      <c r="V350" s="178"/>
      <c r="W350" s="178"/>
      <c r="X350" s="178"/>
      <c r="Y350" s="178"/>
      <c r="Z350" s="178"/>
      <c r="AA350" s="178"/>
      <c r="AB350" s="178"/>
      <c r="AC350" s="178"/>
      <c r="AD350" s="178"/>
      <c r="AE350" s="178"/>
      <c r="AF350" s="178"/>
      <c r="AG350" s="178"/>
      <c r="AH350" s="178"/>
      <c r="AI350" s="178"/>
      <c r="AJ350" s="178"/>
      <c r="AK350" s="178"/>
      <c r="AL350" s="178"/>
      <c r="AM350" s="178"/>
      <c r="AN350" s="178"/>
      <c r="AO350" s="178"/>
      <c r="AP350" s="178"/>
      <c r="AQ350" s="178"/>
      <c r="AR350" s="178"/>
      <c r="AS350" s="178"/>
      <c r="AT350" s="178"/>
      <c r="AU350" s="178"/>
      <c r="AV350" s="178"/>
      <c r="AW350" s="178"/>
      <c r="AX350" s="178"/>
      <c r="AY350" s="178"/>
      <c r="AZ350" s="178"/>
      <c r="BA350" s="178"/>
      <c r="BB350" s="178"/>
      <c r="BC350" s="178"/>
      <c r="BD350" s="178"/>
      <c r="BE350" s="178"/>
      <c r="BF350" s="178"/>
      <c r="BG350" s="178"/>
      <c r="BH350" s="178"/>
      <c r="BI350" s="178"/>
      <c r="BJ350" s="178"/>
      <c r="BK350" s="178"/>
      <c r="BL350" s="178"/>
      <c r="BM350" s="178"/>
      <c r="BN350" s="178"/>
      <c r="BO350" s="178"/>
      <c r="BP350" s="178"/>
      <c r="BQ350" s="178"/>
      <c r="BR350" s="178"/>
      <c r="BS350" s="178"/>
      <c r="BT350" s="178"/>
      <c r="BU350" s="178"/>
    </row>
  </sheetData>
  <sheetProtection password="EBB1" sheet="1" formatColumns="0" formatRows="0" sort="0" autoFilter="0"/>
  <mergeCells count="20">
    <mergeCell ref="C134:F134"/>
    <mergeCell ref="G134:AR134"/>
    <mergeCell ref="C131:F131"/>
    <mergeCell ref="G131:AR131"/>
    <mergeCell ref="C132:F132"/>
    <mergeCell ref="G132:AR132"/>
    <mergeCell ref="C133:F133"/>
    <mergeCell ref="G133:AR133"/>
    <mergeCell ref="C128:F128"/>
    <mergeCell ref="G128:AR128"/>
    <mergeCell ref="C129:F129"/>
    <mergeCell ref="G129:AR129"/>
    <mergeCell ref="C130:F130"/>
    <mergeCell ref="G130:AR130"/>
    <mergeCell ref="AK3:AQ3"/>
    <mergeCell ref="C125:AR125"/>
    <mergeCell ref="C126:F126"/>
    <mergeCell ref="G126:AR126"/>
    <mergeCell ref="C127:F127"/>
    <mergeCell ref="G127:AR127"/>
  </mergeCells>
  <pageMargins left="0.7" right="0.7" top="0.75" bottom="0.75"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5"/>
  <sheetViews>
    <sheetView zoomScaleNormal="100" workbookViewId="0">
      <pane ySplit="5" topLeftCell="A6" activePane="bottomLeft" state="frozen"/>
      <selection pane="bottomLeft" sqref="A1:J1"/>
    </sheetView>
  </sheetViews>
  <sheetFormatPr defaultColWidth="8.7109375" defaultRowHeight="15" x14ac:dyDescent="0.25"/>
  <cols>
    <col min="1" max="1" width="5" style="15" customWidth="1"/>
    <col min="2" max="2" width="26" style="15" customWidth="1"/>
    <col min="3" max="3" width="22" style="15" customWidth="1"/>
    <col min="4" max="6" width="9" style="15" customWidth="1"/>
    <col min="7" max="7" width="10" style="15" customWidth="1"/>
    <col min="8" max="9" width="11" style="15" customWidth="1"/>
    <col min="10" max="10" width="30" style="15" customWidth="1"/>
    <col min="11" max="11" width="34" style="15" customWidth="1"/>
  </cols>
  <sheetData>
    <row r="1" spans="1:11" ht="42" customHeight="1" x14ac:dyDescent="0.25">
      <c r="A1" s="377" t="s">
        <v>3631</v>
      </c>
      <c r="B1" s="377"/>
      <c r="C1" s="377"/>
      <c r="D1" s="377"/>
      <c r="E1" s="377"/>
      <c r="F1" s="377"/>
      <c r="G1" s="377"/>
      <c r="H1" s="377"/>
      <c r="I1" s="377"/>
      <c r="J1" s="377"/>
    </row>
    <row r="2" spans="1:11" ht="39.75" customHeight="1" x14ac:dyDescent="0.25">
      <c r="A2" s="13" t="s">
        <v>3632</v>
      </c>
      <c r="B2" s="13"/>
      <c r="C2" s="13"/>
      <c r="D2" s="13"/>
      <c r="E2" s="13"/>
      <c r="F2" s="13"/>
      <c r="G2" s="13"/>
      <c r="H2" s="13"/>
      <c r="I2" s="13"/>
      <c r="J2" s="13"/>
    </row>
    <row r="4" spans="1:11" ht="23.25" customHeight="1" x14ac:dyDescent="0.25">
      <c r="A4" s="378" t="s">
        <v>927</v>
      </c>
      <c r="B4" s="378" t="s">
        <v>1578</v>
      </c>
      <c r="C4" s="378" t="s">
        <v>1579</v>
      </c>
      <c r="D4" s="379" t="s">
        <v>3633</v>
      </c>
      <c r="E4" s="379"/>
      <c r="F4" s="379"/>
      <c r="G4" s="379"/>
      <c r="H4" s="379"/>
      <c r="I4" s="379"/>
      <c r="J4" s="380" t="s">
        <v>3634</v>
      </c>
      <c r="K4" s="380"/>
    </row>
    <row r="5" spans="1:11" ht="45.75" customHeight="1" x14ac:dyDescent="0.25">
      <c r="A5" s="378"/>
      <c r="B5" s="378"/>
      <c r="C5" s="378"/>
      <c r="D5" s="214" t="s">
        <v>3635</v>
      </c>
      <c r="E5" s="214" t="s">
        <v>3636</v>
      </c>
      <c r="F5" s="67" t="s">
        <v>3637</v>
      </c>
      <c r="G5" s="67" t="s">
        <v>3638</v>
      </c>
      <c r="H5" s="215" t="s">
        <v>3639</v>
      </c>
      <c r="I5" s="215" t="s">
        <v>3640</v>
      </c>
      <c r="J5" s="68" t="s">
        <v>3641</v>
      </c>
      <c r="K5" s="68" t="s">
        <v>3642</v>
      </c>
    </row>
    <row r="6" spans="1:11" ht="18.75" customHeight="1" x14ac:dyDescent="0.25">
      <c r="A6" s="69">
        <v>1</v>
      </c>
      <c r="B6" s="99" t="s">
        <v>1618</v>
      </c>
      <c r="C6" s="70" t="s">
        <v>1619</v>
      </c>
      <c r="D6" s="69" t="s">
        <v>1642</v>
      </c>
      <c r="E6" s="69" t="s">
        <v>1644</v>
      </c>
      <c r="F6" s="69" t="s">
        <v>1646</v>
      </c>
      <c r="G6" s="69" t="s">
        <v>1647</v>
      </c>
      <c r="H6" s="69" t="s">
        <v>1643</v>
      </c>
      <c r="I6" s="69" t="s">
        <v>1645</v>
      </c>
      <c r="J6" s="216" t="s">
        <v>3643</v>
      </c>
      <c r="K6" s="217" t="s">
        <v>3644</v>
      </c>
    </row>
    <row r="7" spans="1:11" ht="18.75" customHeight="1" x14ac:dyDescent="0.25">
      <c r="A7" s="218">
        <v>2</v>
      </c>
      <c r="B7" s="219" t="s">
        <v>1658</v>
      </c>
      <c r="C7" s="220" t="s">
        <v>1659</v>
      </c>
      <c r="D7" s="218" t="s">
        <v>1642</v>
      </c>
      <c r="E7" s="218" t="s">
        <v>1644</v>
      </c>
      <c r="F7" s="218" t="s">
        <v>1678</v>
      </c>
      <c r="G7" s="218" t="s">
        <v>1677</v>
      </c>
      <c r="H7" s="218" t="s">
        <v>1676</v>
      </c>
      <c r="I7" s="218" t="s">
        <v>1915</v>
      </c>
      <c r="J7" s="221" t="s">
        <v>3643</v>
      </c>
      <c r="K7" s="222" t="s">
        <v>3644</v>
      </c>
    </row>
    <row r="8" spans="1:11" ht="18.75" customHeight="1" x14ac:dyDescent="0.25">
      <c r="A8" s="69">
        <v>3</v>
      </c>
      <c r="B8" s="99" t="s">
        <v>1680</v>
      </c>
      <c r="C8" s="70" t="s">
        <v>1681</v>
      </c>
      <c r="D8" s="69" t="s">
        <v>1642</v>
      </c>
      <c r="E8" s="69" t="s">
        <v>1644</v>
      </c>
      <c r="F8" s="69" t="s">
        <v>1700</v>
      </c>
      <c r="G8" s="69" t="s">
        <v>1677</v>
      </c>
      <c r="H8" s="69" t="s">
        <v>1676</v>
      </c>
      <c r="I8" s="69" t="s">
        <v>1699</v>
      </c>
      <c r="J8" s="216" t="s">
        <v>3643</v>
      </c>
      <c r="K8" s="217" t="s">
        <v>3644</v>
      </c>
    </row>
    <row r="9" spans="1:11" ht="18.75" customHeight="1" x14ac:dyDescent="0.25">
      <c r="A9" s="218">
        <v>4</v>
      </c>
      <c r="B9" s="219" t="s">
        <v>1702</v>
      </c>
      <c r="C9" s="220" t="s">
        <v>1703</v>
      </c>
      <c r="D9" s="218" t="s">
        <v>1642</v>
      </c>
      <c r="E9" s="218" t="s">
        <v>1644</v>
      </c>
      <c r="F9" s="218" t="s">
        <v>1700</v>
      </c>
      <c r="G9" s="218" t="s">
        <v>1720</v>
      </c>
      <c r="H9" s="218" t="s">
        <v>1718</v>
      </c>
      <c r="I9" s="218" t="s">
        <v>1719</v>
      </c>
      <c r="J9" s="221" t="s">
        <v>3643</v>
      </c>
      <c r="K9" s="222" t="s">
        <v>3644</v>
      </c>
    </row>
    <row r="10" spans="1:11" ht="18.75" customHeight="1" x14ac:dyDescent="0.25">
      <c r="A10" s="69">
        <v>5</v>
      </c>
      <c r="B10" s="99" t="s">
        <v>1722</v>
      </c>
      <c r="C10" s="70" t="s">
        <v>1723</v>
      </c>
      <c r="D10" s="69" t="s">
        <v>1746</v>
      </c>
      <c r="E10" s="69" t="s">
        <v>1747</v>
      </c>
      <c r="F10" s="69" t="s">
        <v>1749</v>
      </c>
      <c r="G10" s="69" t="s">
        <v>1677</v>
      </c>
      <c r="H10" s="69" t="s">
        <v>1718</v>
      </c>
      <c r="I10" s="69" t="s">
        <v>1748</v>
      </c>
      <c r="J10" s="216" t="s">
        <v>3645</v>
      </c>
      <c r="K10" s="217" t="s">
        <v>3646</v>
      </c>
    </row>
    <row r="11" spans="1:11" ht="23.25" customHeight="1" x14ac:dyDescent="0.25">
      <c r="A11" s="218">
        <v>6</v>
      </c>
      <c r="B11" s="219" t="s">
        <v>1757</v>
      </c>
      <c r="C11" s="220" t="s">
        <v>1758</v>
      </c>
      <c r="D11" s="218" t="s">
        <v>1746</v>
      </c>
      <c r="E11" s="218" t="s">
        <v>1747</v>
      </c>
      <c r="F11" s="218" t="s">
        <v>1777</v>
      </c>
      <c r="G11" s="218" t="s">
        <v>1778</v>
      </c>
      <c r="H11" s="218" t="s">
        <v>1718</v>
      </c>
      <c r="I11" s="218" t="s">
        <v>1699</v>
      </c>
      <c r="J11" s="221" t="s">
        <v>3647</v>
      </c>
      <c r="K11" s="222" t="s">
        <v>3648</v>
      </c>
    </row>
    <row r="12" spans="1:11" ht="18.75" customHeight="1" x14ac:dyDescent="0.25">
      <c r="A12" s="69">
        <v>7</v>
      </c>
      <c r="B12" s="99" t="s">
        <v>1782</v>
      </c>
      <c r="C12" s="70" t="s">
        <v>1783</v>
      </c>
      <c r="D12" s="69" t="s">
        <v>1746</v>
      </c>
      <c r="E12" s="69" t="s">
        <v>1747</v>
      </c>
      <c r="F12" s="69" t="s">
        <v>1749</v>
      </c>
      <c r="G12" s="69" t="s">
        <v>1677</v>
      </c>
      <c r="H12" s="69" t="s">
        <v>1718</v>
      </c>
      <c r="I12" s="69" t="s">
        <v>1699</v>
      </c>
      <c r="J12" s="216" t="s">
        <v>3647</v>
      </c>
      <c r="K12" s="217" t="s">
        <v>3648</v>
      </c>
    </row>
    <row r="13" spans="1:11" ht="23.25" customHeight="1" x14ac:dyDescent="0.25">
      <c r="A13" s="218">
        <v>8</v>
      </c>
      <c r="B13" s="219" t="s">
        <v>1806</v>
      </c>
      <c r="C13" s="220" t="s">
        <v>1807</v>
      </c>
      <c r="D13" s="218" t="s">
        <v>1746</v>
      </c>
      <c r="E13" s="218" t="s">
        <v>1747</v>
      </c>
      <c r="F13" s="218" t="s">
        <v>1777</v>
      </c>
      <c r="G13" s="218" t="s">
        <v>1827</v>
      </c>
      <c r="H13" s="218" t="s">
        <v>1718</v>
      </c>
      <c r="I13" s="218" t="s">
        <v>1748</v>
      </c>
      <c r="J13" s="221" t="s">
        <v>3647</v>
      </c>
      <c r="K13" s="222" t="s">
        <v>3648</v>
      </c>
    </row>
    <row r="14" spans="1:11" ht="15" customHeight="1" x14ac:dyDescent="0.25">
      <c r="A14" s="69">
        <v>9</v>
      </c>
      <c r="B14" s="99" t="s">
        <v>1833</v>
      </c>
      <c r="C14" s="70" t="s">
        <v>1834</v>
      </c>
      <c r="D14" s="69" t="s">
        <v>1856</v>
      </c>
      <c r="E14" s="69" t="s">
        <v>1644</v>
      </c>
      <c r="F14" s="69" t="s">
        <v>1857</v>
      </c>
      <c r="G14" s="69" t="s">
        <v>1858</v>
      </c>
      <c r="H14" s="69" t="s">
        <v>1646</v>
      </c>
      <c r="I14" s="69" t="s">
        <v>1699</v>
      </c>
      <c r="J14" s="216" t="s">
        <v>3649</v>
      </c>
      <c r="K14" s="217" t="s">
        <v>3650</v>
      </c>
    </row>
    <row r="15" spans="1:11" ht="18.75" customHeight="1" x14ac:dyDescent="0.25">
      <c r="A15" s="218">
        <v>10</v>
      </c>
      <c r="B15" s="219" t="s">
        <v>1866</v>
      </c>
      <c r="C15" s="220" t="s">
        <v>1867</v>
      </c>
      <c r="D15" s="218" t="s">
        <v>1856</v>
      </c>
      <c r="E15" s="218" t="s">
        <v>1644</v>
      </c>
      <c r="F15" s="218" t="s">
        <v>1857</v>
      </c>
      <c r="G15" s="218" t="s">
        <v>1858</v>
      </c>
      <c r="H15" s="218" t="s">
        <v>1646</v>
      </c>
      <c r="I15" s="218" t="s">
        <v>1885</v>
      </c>
      <c r="J15" s="221" t="s">
        <v>3643</v>
      </c>
      <c r="K15" s="222" t="s">
        <v>3644</v>
      </c>
    </row>
    <row r="16" spans="1:11" ht="21.75" customHeight="1" x14ac:dyDescent="0.25">
      <c r="A16" s="69">
        <v>11</v>
      </c>
      <c r="B16" s="99" t="s">
        <v>1888</v>
      </c>
      <c r="C16" s="70" t="s">
        <v>1889</v>
      </c>
      <c r="D16" s="69" t="s">
        <v>1746</v>
      </c>
      <c r="E16" s="69" t="s">
        <v>1910</v>
      </c>
      <c r="F16" s="69" t="s">
        <v>1700</v>
      </c>
      <c r="G16" s="69" t="s">
        <v>1911</v>
      </c>
      <c r="H16" s="69" t="s">
        <v>1718</v>
      </c>
      <c r="I16" s="69" t="s">
        <v>1645</v>
      </c>
      <c r="J16" s="216" t="s">
        <v>3651</v>
      </c>
      <c r="K16" s="217" t="s">
        <v>3652</v>
      </c>
    </row>
    <row r="17" spans="1:11" ht="18.75" customHeight="1" x14ac:dyDescent="0.25">
      <c r="A17" s="218">
        <v>12</v>
      </c>
      <c r="B17" s="219" t="s">
        <v>1920</v>
      </c>
      <c r="C17" s="220" t="s">
        <v>1726</v>
      </c>
      <c r="D17" s="218" t="s">
        <v>1746</v>
      </c>
      <c r="E17" s="218" t="s">
        <v>1644</v>
      </c>
      <c r="F17" s="218" t="s">
        <v>1857</v>
      </c>
      <c r="G17" s="218" t="s">
        <v>1677</v>
      </c>
      <c r="H17" s="218" t="s">
        <v>1718</v>
      </c>
      <c r="I17" s="218" t="s">
        <v>1915</v>
      </c>
      <c r="J17" s="221" t="s">
        <v>3643</v>
      </c>
      <c r="K17" s="222" t="s">
        <v>3644</v>
      </c>
    </row>
    <row r="18" spans="1:11" ht="18.75" customHeight="1" x14ac:dyDescent="0.25">
      <c r="A18" s="69">
        <v>13</v>
      </c>
      <c r="B18" s="99" t="s">
        <v>1939</v>
      </c>
      <c r="C18" s="70" t="s">
        <v>1940</v>
      </c>
      <c r="D18" s="69" t="s">
        <v>1746</v>
      </c>
      <c r="E18" s="69" t="s">
        <v>1910</v>
      </c>
      <c r="F18" s="69" t="s">
        <v>1700</v>
      </c>
      <c r="G18" s="69" t="s">
        <v>1677</v>
      </c>
      <c r="H18" s="69" t="s">
        <v>1718</v>
      </c>
      <c r="I18" s="69" t="s">
        <v>1645</v>
      </c>
      <c r="J18" s="216" t="s">
        <v>3643</v>
      </c>
      <c r="K18" s="217" t="s">
        <v>3644</v>
      </c>
    </row>
    <row r="19" spans="1:11" ht="15" customHeight="1" x14ac:dyDescent="0.25">
      <c r="A19" s="218">
        <v>14</v>
      </c>
      <c r="B19" s="219" t="s">
        <v>1959</v>
      </c>
      <c r="C19" s="220" t="s">
        <v>1960</v>
      </c>
      <c r="D19" s="218" t="s">
        <v>1746</v>
      </c>
      <c r="E19" s="218" t="s">
        <v>1644</v>
      </c>
      <c r="F19" s="218" t="s">
        <v>1646</v>
      </c>
      <c r="G19" s="218" t="s">
        <v>1778</v>
      </c>
      <c r="H19" s="218" t="s">
        <v>1718</v>
      </c>
      <c r="I19" s="218" t="s">
        <v>1981</v>
      </c>
      <c r="J19" s="221" t="s">
        <v>3653</v>
      </c>
      <c r="K19" s="222" t="s">
        <v>3654</v>
      </c>
    </row>
    <row r="20" spans="1:11" ht="15" customHeight="1" x14ac:dyDescent="0.25">
      <c r="A20" s="69">
        <v>15</v>
      </c>
      <c r="B20" s="99" t="s">
        <v>1987</v>
      </c>
      <c r="C20" s="70" t="s">
        <v>1811</v>
      </c>
      <c r="D20" s="69" t="s">
        <v>1746</v>
      </c>
      <c r="E20" s="69" t="s">
        <v>1644</v>
      </c>
      <c r="F20" s="69" t="s">
        <v>1749</v>
      </c>
      <c r="G20" s="69" t="s">
        <v>2003</v>
      </c>
      <c r="H20" s="69" t="s">
        <v>1718</v>
      </c>
      <c r="I20" s="69" t="s">
        <v>1981</v>
      </c>
      <c r="J20" s="216" t="s">
        <v>3653</v>
      </c>
      <c r="K20" s="217" t="s">
        <v>3654</v>
      </c>
    </row>
    <row r="21" spans="1:11" ht="15" customHeight="1" x14ac:dyDescent="0.25">
      <c r="A21" s="218">
        <v>16</v>
      </c>
      <c r="B21" s="219" t="s">
        <v>2006</v>
      </c>
      <c r="C21" s="220" t="s">
        <v>2007</v>
      </c>
      <c r="D21" s="218" t="s">
        <v>2028</v>
      </c>
      <c r="E21" s="218" t="s">
        <v>2030</v>
      </c>
      <c r="F21" s="218" t="s">
        <v>1700</v>
      </c>
      <c r="G21" s="218" t="s">
        <v>1778</v>
      </c>
      <c r="H21" s="218" t="s">
        <v>2029</v>
      </c>
      <c r="I21" s="218" t="s">
        <v>1699</v>
      </c>
      <c r="J21" s="221" t="s">
        <v>3655</v>
      </c>
      <c r="K21" s="222" t="s">
        <v>3656</v>
      </c>
    </row>
    <row r="22" spans="1:11" ht="15" customHeight="1" x14ac:dyDescent="0.25">
      <c r="A22" s="69">
        <v>17</v>
      </c>
      <c r="B22" s="99" t="s">
        <v>2033</v>
      </c>
      <c r="C22" s="70" t="s">
        <v>2034</v>
      </c>
      <c r="D22" s="69" t="s">
        <v>2028</v>
      </c>
      <c r="E22" s="69" t="s">
        <v>2030</v>
      </c>
      <c r="F22" s="69" t="s">
        <v>1678</v>
      </c>
      <c r="G22" s="69" t="s">
        <v>1677</v>
      </c>
      <c r="H22" s="69" t="s">
        <v>2029</v>
      </c>
      <c r="I22" s="69" t="s">
        <v>1748</v>
      </c>
      <c r="J22" s="216" t="s">
        <v>3655</v>
      </c>
      <c r="K22" s="217" t="s">
        <v>3656</v>
      </c>
    </row>
    <row r="23" spans="1:11" ht="15" customHeight="1" x14ac:dyDescent="0.25">
      <c r="A23" s="218">
        <v>18</v>
      </c>
      <c r="B23" s="219" t="s">
        <v>2053</v>
      </c>
      <c r="C23" s="220" t="s">
        <v>2054</v>
      </c>
      <c r="D23" s="218" t="s">
        <v>2028</v>
      </c>
      <c r="E23" s="218" t="s">
        <v>2030</v>
      </c>
      <c r="F23" s="218" t="s">
        <v>1700</v>
      </c>
      <c r="G23" s="218" t="s">
        <v>2069</v>
      </c>
      <c r="H23" s="218" t="s">
        <v>1718</v>
      </c>
      <c r="I23" s="218" t="s">
        <v>1699</v>
      </c>
      <c r="J23" s="221" t="s">
        <v>3657</v>
      </c>
      <c r="K23" s="222" t="s">
        <v>3658</v>
      </c>
    </row>
    <row r="24" spans="1:11" ht="18.75" customHeight="1" x14ac:dyDescent="0.25">
      <c r="A24" s="69">
        <v>19</v>
      </c>
      <c r="B24" s="99" t="s">
        <v>2072</v>
      </c>
      <c r="C24" s="70" t="s">
        <v>2073</v>
      </c>
      <c r="D24" s="69" t="s">
        <v>1746</v>
      </c>
      <c r="E24" s="69" t="s">
        <v>1644</v>
      </c>
      <c r="F24" s="69" t="s">
        <v>1678</v>
      </c>
      <c r="G24" s="69" t="s">
        <v>1677</v>
      </c>
      <c r="H24" s="69" t="s">
        <v>2090</v>
      </c>
      <c r="I24" s="69" t="s">
        <v>1645</v>
      </c>
      <c r="J24" s="216" t="s">
        <v>3643</v>
      </c>
      <c r="K24" s="217" t="s">
        <v>3644</v>
      </c>
    </row>
    <row r="25" spans="1:11" ht="18.75" customHeight="1" x14ac:dyDescent="0.25">
      <c r="A25" s="218">
        <v>20</v>
      </c>
      <c r="B25" s="219" t="s">
        <v>2096</v>
      </c>
      <c r="C25" s="220" t="s">
        <v>2097</v>
      </c>
      <c r="D25" s="218" t="s">
        <v>1746</v>
      </c>
      <c r="E25" s="218" t="s">
        <v>1644</v>
      </c>
      <c r="F25" s="218" t="s">
        <v>1646</v>
      </c>
      <c r="G25" s="218" t="s">
        <v>1677</v>
      </c>
      <c r="H25" s="218" t="s">
        <v>1643</v>
      </c>
      <c r="I25" s="218" t="s">
        <v>1645</v>
      </c>
      <c r="J25" s="221" t="s">
        <v>3643</v>
      </c>
      <c r="K25" s="222" t="s">
        <v>3644</v>
      </c>
    </row>
    <row r="26" spans="1:11" ht="15" customHeight="1" x14ac:dyDescent="0.25">
      <c r="A26" s="69">
        <v>21</v>
      </c>
      <c r="B26" s="99" t="s">
        <v>2118</v>
      </c>
      <c r="C26" s="70" t="s">
        <v>2119</v>
      </c>
      <c r="D26" s="69" t="s">
        <v>2140</v>
      </c>
      <c r="E26" s="69" t="s">
        <v>2141</v>
      </c>
      <c r="F26" s="69" t="s">
        <v>1678</v>
      </c>
      <c r="G26" s="69" t="s">
        <v>1677</v>
      </c>
      <c r="H26" s="69" t="s">
        <v>1718</v>
      </c>
      <c r="I26" s="69" t="s">
        <v>1748</v>
      </c>
      <c r="J26" s="216" t="s">
        <v>3659</v>
      </c>
      <c r="K26" s="217" t="s">
        <v>3660</v>
      </c>
    </row>
    <row r="27" spans="1:11" ht="18.75" customHeight="1" x14ac:dyDescent="0.25">
      <c r="A27" s="218">
        <v>22</v>
      </c>
      <c r="B27" s="219" t="s">
        <v>2146</v>
      </c>
      <c r="C27" s="220" t="s">
        <v>2147</v>
      </c>
      <c r="D27" s="218" t="s">
        <v>2140</v>
      </c>
      <c r="E27" s="218" t="s">
        <v>2141</v>
      </c>
      <c r="F27" s="218" t="s">
        <v>1700</v>
      </c>
      <c r="G27" s="218" t="s">
        <v>2161</v>
      </c>
      <c r="H27" s="218" t="s">
        <v>1718</v>
      </c>
      <c r="I27" s="218" t="s">
        <v>1645</v>
      </c>
      <c r="J27" s="221" t="s">
        <v>3661</v>
      </c>
      <c r="K27" s="222" t="s">
        <v>3662</v>
      </c>
    </row>
    <row r="28" spans="1:11" ht="15" customHeight="1" x14ac:dyDescent="0.25">
      <c r="A28" s="69">
        <v>23</v>
      </c>
      <c r="B28" s="99" t="s">
        <v>2165</v>
      </c>
      <c r="C28" s="70" t="s">
        <v>2166</v>
      </c>
      <c r="D28" s="69" t="s">
        <v>2183</v>
      </c>
      <c r="E28" s="69" t="s">
        <v>1856</v>
      </c>
      <c r="F28" s="69" t="s">
        <v>1678</v>
      </c>
      <c r="G28" s="69" t="s">
        <v>1749</v>
      </c>
      <c r="H28" s="69" t="s">
        <v>1718</v>
      </c>
      <c r="I28" s="69" t="s">
        <v>1653</v>
      </c>
      <c r="J28" s="216" t="s">
        <v>3663</v>
      </c>
      <c r="K28" s="217" t="s">
        <v>3664</v>
      </c>
    </row>
    <row r="29" spans="1:11" ht="21.75" customHeight="1" x14ac:dyDescent="0.25">
      <c r="A29" s="218">
        <v>24</v>
      </c>
      <c r="B29" s="219" t="s">
        <v>2190</v>
      </c>
      <c r="C29" s="220" t="s">
        <v>2191</v>
      </c>
      <c r="D29" s="218" t="s">
        <v>1642</v>
      </c>
      <c r="E29" s="218" t="s">
        <v>1644</v>
      </c>
      <c r="F29" s="218" t="s">
        <v>1777</v>
      </c>
      <c r="G29" s="218" t="s">
        <v>1749</v>
      </c>
      <c r="H29" s="218" t="s">
        <v>2183</v>
      </c>
      <c r="I29" s="218" t="s">
        <v>1748</v>
      </c>
      <c r="J29" s="221" t="s">
        <v>3665</v>
      </c>
      <c r="K29" s="222" t="s">
        <v>3666</v>
      </c>
    </row>
    <row r="30" spans="1:11" ht="18.75" customHeight="1" x14ac:dyDescent="0.25">
      <c r="A30" s="69">
        <v>25</v>
      </c>
      <c r="B30" s="99" t="s">
        <v>485</v>
      </c>
      <c r="C30" s="70" t="s">
        <v>2211</v>
      </c>
      <c r="D30" s="69" t="s">
        <v>1746</v>
      </c>
      <c r="E30" s="69" t="s">
        <v>1644</v>
      </c>
      <c r="F30" s="69" t="s">
        <v>1981</v>
      </c>
      <c r="G30" s="69" t="s">
        <v>2228</v>
      </c>
      <c r="H30" s="69" t="s">
        <v>1718</v>
      </c>
      <c r="I30" s="69" t="s">
        <v>1719</v>
      </c>
      <c r="J30" s="216" t="s">
        <v>3643</v>
      </c>
      <c r="K30" s="217" t="s">
        <v>3644</v>
      </c>
    </row>
    <row r="31" spans="1:11" ht="18.75" customHeight="1" x14ac:dyDescent="0.25">
      <c r="A31" s="218">
        <v>26</v>
      </c>
      <c r="B31" s="219" t="s">
        <v>2232</v>
      </c>
      <c r="C31" s="220" t="s">
        <v>2233</v>
      </c>
      <c r="D31" s="218" t="s">
        <v>1856</v>
      </c>
      <c r="E31" s="218" t="s">
        <v>1644</v>
      </c>
      <c r="F31" s="218" t="s">
        <v>1646</v>
      </c>
      <c r="G31" s="218" t="s">
        <v>1778</v>
      </c>
      <c r="H31" s="218" t="s">
        <v>2245</v>
      </c>
      <c r="I31" s="218" t="s">
        <v>1653</v>
      </c>
      <c r="J31" s="221" t="s">
        <v>3643</v>
      </c>
      <c r="K31" s="222" t="s">
        <v>3644</v>
      </c>
    </row>
    <row r="32" spans="1:11" ht="15" customHeight="1" x14ac:dyDescent="0.25">
      <c r="A32" s="69">
        <v>27</v>
      </c>
      <c r="B32" s="99" t="s">
        <v>2248</v>
      </c>
      <c r="C32" s="70" t="s">
        <v>2249</v>
      </c>
      <c r="D32" s="69" t="s">
        <v>1856</v>
      </c>
      <c r="E32" s="69" t="s">
        <v>1644</v>
      </c>
      <c r="F32" s="69" t="s">
        <v>1749</v>
      </c>
      <c r="G32" s="69" t="s">
        <v>1863</v>
      </c>
      <c r="H32" s="69" t="s">
        <v>2260</v>
      </c>
      <c r="I32" s="69" t="s">
        <v>1885</v>
      </c>
      <c r="J32" s="216" t="s">
        <v>3655</v>
      </c>
      <c r="K32" s="217" t="s">
        <v>3656</v>
      </c>
    </row>
    <row r="33" spans="1:11" ht="15" customHeight="1" x14ac:dyDescent="0.25">
      <c r="A33" s="218">
        <v>28</v>
      </c>
      <c r="B33" s="219" t="s">
        <v>2265</v>
      </c>
      <c r="C33" s="220" t="s">
        <v>2266</v>
      </c>
      <c r="D33" s="218" t="s">
        <v>2282</v>
      </c>
      <c r="E33" s="218" t="s">
        <v>1644</v>
      </c>
      <c r="F33" s="218" t="s">
        <v>1749</v>
      </c>
      <c r="G33" s="218" t="s">
        <v>2283</v>
      </c>
      <c r="H33" s="218" t="s">
        <v>2260</v>
      </c>
      <c r="I33" s="218" t="s">
        <v>1645</v>
      </c>
      <c r="J33" s="221" t="s">
        <v>3655</v>
      </c>
      <c r="K33" s="222" t="s">
        <v>3656</v>
      </c>
    </row>
    <row r="34" spans="1:11" ht="15" customHeight="1" x14ac:dyDescent="0.25">
      <c r="A34" s="69">
        <v>29</v>
      </c>
      <c r="B34" s="99" t="s">
        <v>2286</v>
      </c>
      <c r="C34" s="70" t="s">
        <v>1662</v>
      </c>
      <c r="D34" s="69" t="s">
        <v>1746</v>
      </c>
      <c r="E34" s="69" t="s">
        <v>1644</v>
      </c>
      <c r="F34" s="69" t="s">
        <v>1700</v>
      </c>
      <c r="G34" s="69" t="s">
        <v>1780</v>
      </c>
      <c r="H34" s="69" t="s">
        <v>1718</v>
      </c>
      <c r="I34" s="69" t="s">
        <v>1699</v>
      </c>
      <c r="J34" s="216" t="s">
        <v>3655</v>
      </c>
      <c r="K34" s="217" t="s">
        <v>3656</v>
      </c>
    </row>
    <row r="35" spans="1:11" ht="21.75" customHeight="1" x14ac:dyDescent="0.25">
      <c r="A35" s="218">
        <v>30</v>
      </c>
      <c r="B35" s="219" t="s">
        <v>2307</v>
      </c>
      <c r="C35" s="220" t="s">
        <v>2308</v>
      </c>
      <c r="D35" s="218" t="s">
        <v>1746</v>
      </c>
      <c r="E35" s="218" t="s">
        <v>1644</v>
      </c>
      <c r="F35" s="218" t="s">
        <v>1700</v>
      </c>
      <c r="G35" s="218" t="s">
        <v>2283</v>
      </c>
      <c r="H35" s="218" t="s">
        <v>1718</v>
      </c>
      <c r="I35" s="218" t="s">
        <v>2320</v>
      </c>
      <c r="J35" s="221" t="s">
        <v>3651</v>
      </c>
      <c r="K35" s="222" t="s">
        <v>3652</v>
      </c>
    </row>
    <row r="36" spans="1:11" ht="15" customHeight="1" x14ac:dyDescent="0.25">
      <c r="A36" s="69">
        <v>31</v>
      </c>
      <c r="B36" s="99" t="s">
        <v>2323</v>
      </c>
      <c r="C36" s="70" t="s">
        <v>2324</v>
      </c>
      <c r="D36" s="69" t="s">
        <v>1746</v>
      </c>
      <c r="E36" s="69" t="s">
        <v>1644</v>
      </c>
      <c r="F36" s="69" t="s">
        <v>1646</v>
      </c>
      <c r="G36" s="69" t="s">
        <v>1863</v>
      </c>
      <c r="H36" s="69" t="s">
        <v>2342</v>
      </c>
      <c r="I36" s="69" t="s">
        <v>1653</v>
      </c>
      <c r="J36" s="216" t="s">
        <v>3667</v>
      </c>
      <c r="K36" s="217" t="s">
        <v>3668</v>
      </c>
    </row>
    <row r="37" spans="1:11" ht="15" customHeight="1" x14ac:dyDescent="0.25">
      <c r="A37" s="218">
        <v>32</v>
      </c>
      <c r="B37" s="219" t="s">
        <v>2345</v>
      </c>
      <c r="C37" s="220" t="s">
        <v>2346</v>
      </c>
      <c r="D37" s="218" t="s">
        <v>1746</v>
      </c>
      <c r="E37" s="218" t="s">
        <v>1644</v>
      </c>
      <c r="F37" s="218" t="s">
        <v>1646</v>
      </c>
      <c r="G37" s="218" t="s">
        <v>2358</v>
      </c>
      <c r="H37" s="218" t="s">
        <v>1718</v>
      </c>
      <c r="I37" s="218" t="s">
        <v>1653</v>
      </c>
      <c r="J37" s="221" t="s">
        <v>3657</v>
      </c>
      <c r="K37" s="222" t="s">
        <v>3658</v>
      </c>
    </row>
    <row r="38" spans="1:11" ht="18.75" customHeight="1" x14ac:dyDescent="0.25">
      <c r="A38" s="69">
        <v>33</v>
      </c>
      <c r="B38" s="99" t="s">
        <v>2361</v>
      </c>
      <c r="C38" s="70" t="s">
        <v>2362</v>
      </c>
      <c r="D38" s="69" t="s">
        <v>1746</v>
      </c>
      <c r="E38" s="69" t="s">
        <v>1644</v>
      </c>
      <c r="F38" s="69" t="s">
        <v>1857</v>
      </c>
      <c r="G38" s="69" t="s">
        <v>1863</v>
      </c>
      <c r="H38" s="69" t="s">
        <v>1718</v>
      </c>
      <c r="I38" s="69" t="s">
        <v>1699</v>
      </c>
      <c r="J38" s="216" t="s">
        <v>3643</v>
      </c>
      <c r="K38" s="217" t="s">
        <v>3644</v>
      </c>
    </row>
    <row r="39" spans="1:11" ht="15" customHeight="1" x14ac:dyDescent="0.25">
      <c r="A39" s="218">
        <v>34</v>
      </c>
      <c r="B39" s="219" t="s">
        <v>2377</v>
      </c>
      <c r="C39" s="220" t="s">
        <v>2378</v>
      </c>
      <c r="D39" s="218" t="s">
        <v>1746</v>
      </c>
      <c r="E39" s="218" t="s">
        <v>1644</v>
      </c>
      <c r="F39" s="218" t="s">
        <v>1749</v>
      </c>
      <c r="G39" s="218" t="s">
        <v>1778</v>
      </c>
      <c r="H39" s="218" t="s">
        <v>1718</v>
      </c>
      <c r="I39" s="218" t="s">
        <v>1677</v>
      </c>
      <c r="J39" s="221" t="s">
        <v>3653</v>
      </c>
      <c r="K39" s="222" t="s">
        <v>3654</v>
      </c>
    </row>
    <row r="40" spans="1:11" ht="15" customHeight="1" x14ac:dyDescent="0.25">
      <c r="A40" s="69">
        <v>35</v>
      </c>
      <c r="B40" s="99" t="s">
        <v>2393</v>
      </c>
      <c r="C40" s="70" t="s">
        <v>2394</v>
      </c>
      <c r="D40" s="69" t="s">
        <v>1746</v>
      </c>
      <c r="E40" s="69" t="s">
        <v>1644</v>
      </c>
      <c r="F40" s="69" t="s">
        <v>1749</v>
      </c>
      <c r="G40" s="69" t="s">
        <v>1778</v>
      </c>
      <c r="H40" s="69" t="s">
        <v>1718</v>
      </c>
      <c r="I40" s="69" t="s">
        <v>1981</v>
      </c>
      <c r="J40" s="216" t="s">
        <v>3653</v>
      </c>
      <c r="K40" s="217" t="s">
        <v>3654</v>
      </c>
    </row>
    <row r="41" spans="1:11" ht="18.75" customHeight="1" x14ac:dyDescent="0.25">
      <c r="A41" s="218">
        <v>36</v>
      </c>
      <c r="B41" s="219" t="s">
        <v>2406</v>
      </c>
      <c r="C41" s="220" t="s">
        <v>2407</v>
      </c>
      <c r="D41" s="218" t="s">
        <v>1746</v>
      </c>
      <c r="E41" s="218" t="s">
        <v>1644</v>
      </c>
      <c r="F41" s="218" t="s">
        <v>1857</v>
      </c>
      <c r="G41" s="218" t="s">
        <v>1915</v>
      </c>
      <c r="H41" s="218" t="s">
        <v>1718</v>
      </c>
      <c r="I41" s="218" t="s">
        <v>1677</v>
      </c>
      <c r="J41" s="221" t="s">
        <v>3643</v>
      </c>
      <c r="K41" s="222" t="s">
        <v>3644</v>
      </c>
    </row>
    <row r="42" spans="1:11" ht="18.75" customHeight="1" x14ac:dyDescent="0.25">
      <c r="A42" s="69">
        <v>37</v>
      </c>
      <c r="B42" s="99" t="s">
        <v>2420</v>
      </c>
      <c r="C42" s="70" t="s">
        <v>2269</v>
      </c>
      <c r="D42" s="69" t="s">
        <v>1746</v>
      </c>
      <c r="E42" s="69" t="s">
        <v>1644</v>
      </c>
      <c r="F42" s="69" t="s">
        <v>1857</v>
      </c>
      <c r="G42" s="69" t="s">
        <v>1863</v>
      </c>
      <c r="H42" s="69" t="s">
        <v>1718</v>
      </c>
      <c r="I42" s="69" t="s">
        <v>1645</v>
      </c>
      <c r="J42" s="216" t="s">
        <v>3643</v>
      </c>
      <c r="K42" s="217" t="s">
        <v>3644</v>
      </c>
    </row>
    <row r="43" spans="1:11" ht="18.75" customHeight="1" x14ac:dyDescent="0.25">
      <c r="A43" s="218">
        <v>38</v>
      </c>
      <c r="B43" s="219" t="s">
        <v>2433</v>
      </c>
      <c r="C43" s="220" t="s">
        <v>2434</v>
      </c>
      <c r="D43" s="218" t="s">
        <v>1746</v>
      </c>
      <c r="E43" s="218" t="s">
        <v>1644</v>
      </c>
      <c r="F43" s="218" t="s">
        <v>1646</v>
      </c>
      <c r="G43" s="218" t="s">
        <v>1863</v>
      </c>
      <c r="H43" s="218" t="s">
        <v>1718</v>
      </c>
      <c r="I43" s="218" t="s">
        <v>1719</v>
      </c>
      <c r="J43" s="221" t="s">
        <v>3645</v>
      </c>
      <c r="K43" s="222" t="s">
        <v>3646</v>
      </c>
    </row>
    <row r="44" spans="1:11" ht="18.75" customHeight="1" x14ac:dyDescent="0.25">
      <c r="A44" s="69">
        <v>39</v>
      </c>
      <c r="B44" s="99" t="s">
        <v>2448</v>
      </c>
      <c r="C44" s="70" t="s">
        <v>1783</v>
      </c>
      <c r="D44" s="69" t="s">
        <v>1746</v>
      </c>
      <c r="E44" s="69" t="s">
        <v>1644</v>
      </c>
      <c r="F44" s="69" t="s">
        <v>2464</v>
      </c>
      <c r="G44" s="69" t="s">
        <v>1778</v>
      </c>
      <c r="H44" s="69" t="s">
        <v>1676</v>
      </c>
      <c r="I44" s="69" t="s">
        <v>1719</v>
      </c>
      <c r="J44" s="216" t="s">
        <v>3669</v>
      </c>
      <c r="K44" s="217" t="s">
        <v>3670</v>
      </c>
    </row>
    <row r="45" spans="1:11" ht="18.75" customHeight="1" x14ac:dyDescent="0.25">
      <c r="A45" s="218">
        <v>40</v>
      </c>
      <c r="B45" s="219" t="s">
        <v>2467</v>
      </c>
      <c r="C45" s="220" t="s">
        <v>2468</v>
      </c>
      <c r="D45" s="218" t="s">
        <v>1746</v>
      </c>
      <c r="E45" s="218" t="s">
        <v>1644</v>
      </c>
      <c r="F45" s="218" t="s">
        <v>1857</v>
      </c>
      <c r="G45" s="218" t="s">
        <v>1677</v>
      </c>
      <c r="H45" s="218" t="s">
        <v>1718</v>
      </c>
      <c r="I45" s="218" t="s">
        <v>1653</v>
      </c>
      <c r="J45" s="221" t="s">
        <v>3643</v>
      </c>
      <c r="K45" s="222" t="s">
        <v>3644</v>
      </c>
    </row>
    <row r="46" spans="1:11" ht="21.75" customHeight="1" x14ac:dyDescent="0.25">
      <c r="A46" s="69">
        <v>41</v>
      </c>
      <c r="B46" s="99" t="s">
        <v>2480</v>
      </c>
      <c r="C46" s="70" t="s">
        <v>2481</v>
      </c>
      <c r="D46" s="69" t="s">
        <v>1746</v>
      </c>
      <c r="E46" s="69" t="s">
        <v>1644</v>
      </c>
      <c r="F46" s="69" t="s">
        <v>1777</v>
      </c>
      <c r="G46" s="69" t="s">
        <v>1863</v>
      </c>
      <c r="H46" s="69" t="s">
        <v>1718</v>
      </c>
      <c r="I46" s="69" t="s">
        <v>2320</v>
      </c>
      <c r="J46" s="216" t="s">
        <v>3651</v>
      </c>
      <c r="K46" s="217" t="s">
        <v>3652</v>
      </c>
    </row>
    <row r="47" spans="1:11" ht="18.75" customHeight="1" x14ac:dyDescent="0.25">
      <c r="A47" s="218">
        <v>42</v>
      </c>
      <c r="B47" s="219" t="s">
        <v>2491</v>
      </c>
      <c r="C47" s="220" t="s">
        <v>2481</v>
      </c>
      <c r="D47" s="218" t="s">
        <v>1746</v>
      </c>
      <c r="E47" s="218" t="s">
        <v>1644</v>
      </c>
      <c r="F47" s="218" t="s">
        <v>1857</v>
      </c>
      <c r="G47" s="218" t="s">
        <v>1863</v>
      </c>
      <c r="H47" s="218" t="s">
        <v>1718</v>
      </c>
      <c r="I47" s="218" t="s">
        <v>1699</v>
      </c>
      <c r="J47" s="221" t="s">
        <v>3643</v>
      </c>
      <c r="K47" s="222" t="s">
        <v>3644</v>
      </c>
    </row>
    <row r="48" spans="1:11" ht="21.75" customHeight="1" x14ac:dyDescent="0.25">
      <c r="A48" s="69">
        <v>43</v>
      </c>
      <c r="B48" s="99" t="s">
        <v>2501</v>
      </c>
      <c r="C48" s="70" t="s">
        <v>1811</v>
      </c>
      <c r="D48" s="69" t="s">
        <v>1746</v>
      </c>
      <c r="E48" s="69" t="s">
        <v>1644</v>
      </c>
      <c r="F48" s="69" t="s">
        <v>1678</v>
      </c>
      <c r="G48" s="69" t="s">
        <v>1652</v>
      </c>
      <c r="H48" s="69" t="s">
        <v>1718</v>
      </c>
      <c r="I48" s="69" t="s">
        <v>2320</v>
      </c>
      <c r="J48" s="216" t="s">
        <v>3651</v>
      </c>
      <c r="K48" s="217" t="s">
        <v>3652</v>
      </c>
    </row>
    <row r="49" spans="1:11" ht="18.75" customHeight="1" x14ac:dyDescent="0.25">
      <c r="A49" s="218">
        <v>44</v>
      </c>
      <c r="B49" s="219" t="s">
        <v>2513</v>
      </c>
      <c r="C49" s="220" t="s">
        <v>2514</v>
      </c>
      <c r="D49" s="218" t="s">
        <v>1746</v>
      </c>
      <c r="E49" s="218" t="s">
        <v>1644</v>
      </c>
      <c r="F49" s="218" t="s">
        <v>1646</v>
      </c>
      <c r="G49" s="218" t="s">
        <v>1863</v>
      </c>
      <c r="H49" s="218" t="s">
        <v>1718</v>
      </c>
      <c r="I49" s="218" t="s">
        <v>1653</v>
      </c>
      <c r="J49" s="221" t="s">
        <v>3643</v>
      </c>
      <c r="K49" s="222" t="s">
        <v>3644</v>
      </c>
    </row>
    <row r="50" spans="1:11" ht="18.75" customHeight="1" x14ac:dyDescent="0.25">
      <c r="A50" s="69">
        <v>45</v>
      </c>
      <c r="B50" s="99" t="s">
        <v>2528</v>
      </c>
      <c r="C50" s="70" t="s">
        <v>2529</v>
      </c>
      <c r="D50" s="69" t="s">
        <v>1746</v>
      </c>
      <c r="E50" s="69" t="s">
        <v>1644</v>
      </c>
      <c r="F50" s="69" t="s">
        <v>1678</v>
      </c>
      <c r="G50" s="69" t="s">
        <v>1778</v>
      </c>
      <c r="H50" s="69" t="s">
        <v>1718</v>
      </c>
      <c r="I50" s="69" t="s">
        <v>1677</v>
      </c>
      <c r="J50" s="216" t="s">
        <v>3643</v>
      </c>
      <c r="K50" s="217" t="s">
        <v>3644</v>
      </c>
    </row>
    <row r="51" spans="1:11" ht="18.75" customHeight="1" x14ac:dyDescent="0.25">
      <c r="A51" s="218">
        <v>46</v>
      </c>
      <c r="B51" s="219" t="s">
        <v>2543</v>
      </c>
      <c r="C51" s="220" t="s">
        <v>2544</v>
      </c>
      <c r="D51" s="218" t="s">
        <v>1746</v>
      </c>
      <c r="E51" s="218" t="s">
        <v>1644</v>
      </c>
      <c r="F51" s="218" t="s">
        <v>1777</v>
      </c>
      <c r="G51" s="218" t="s">
        <v>2187</v>
      </c>
      <c r="H51" s="218" t="s">
        <v>1718</v>
      </c>
      <c r="I51" s="218" t="s">
        <v>1645</v>
      </c>
      <c r="J51" s="221" t="s">
        <v>3643</v>
      </c>
      <c r="K51" s="222" t="s">
        <v>3644</v>
      </c>
    </row>
    <row r="52" spans="1:11" ht="18.75" customHeight="1" x14ac:dyDescent="0.25">
      <c r="A52" s="69">
        <v>47</v>
      </c>
      <c r="B52" s="99" t="s">
        <v>2557</v>
      </c>
      <c r="C52" s="70" t="s">
        <v>1726</v>
      </c>
      <c r="D52" s="69" t="s">
        <v>1746</v>
      </c>
      <c r="E52" s="69" t="s">
        <v>1644</v>
      </c>
      <c r="F52" s="69" t="s">
        <v>1700</v>
      </c>
      <c r="G52" s="69" t="s">
        <v>1677</v>
      </c>
      <c r="H52" s="69" t="s">
        <v>1718</v>
      </c>
      <c r="I52" s="69" t="s">
        <v>1981</v>
      </c>
      <c r="J52" s="216" t="s">
        <v>3643</v>
      </c>
      <c r="K52" s="217" t="s">
        <v>3644</v>
      </c>
    </row>
    <row r="53" spans="1:11" ht="18.75" customHeight="1" x14ac:dyDescent="0.25">
      <c r="A53" s="218">
        <v>48</v>
      </c>
      <c r="B53" s="219" t="s">
        <v>2567</v>
      </c>
      <c r="C53" s="220" t="s">
        <v>1783</v>
      </c>
      <c r="D53" s="218" t="s">
        <v>1746</v>
      </c>
      <c r="E53" s="218" t="s">
        <v>1910</v>
      </c>
      <c r="F53" s="218" t="s">
        <v>1857</v>
      </c>
      <c r="G53" s="218" t="s">
        <v>1677</v>
      </c>
      <c r="H53" s="218" t="s">
        <v>1718</v>
      </c>
      <c r="I53" s="218" t="s">
        <v>1653</v>
      </c>
      <c r="J53" s="221" t="s">
        <v>3643</v>
      </c>
      <c r="K53" s="222" t="s">
        <v>3644</v>
      </c>
    </row>
    <row r="54" spans="1:11" ht="18.75" customHeight="1" x14ac:dyDescent="0.25">
      <c r="A54" s="69">
        <v>49</v>
      </c>
      <c r="B54" s="99" t="s">
        <v>2577</v>
      </c>
      <c r="C54" s="70" t="s">
        <v>2544</v>
      </c>
      <c r="D54" s="69" t="s">
        <v>1746</v>
      </c>
      <c r="E54" s="69" t="s">
        <v>1644</v>
      </c>
      <c r="F54" s="69" t="s">
        <v>1749</v>
      </c>
      <c r="G54" s="69" t="s">
        <v>1863</v>
      </c>
      <c r="H54" s="69" t="s">
        <v>1718</v>
      </c>
      <c r="I54" s="69" t="s">
        <v>2320</v>
      </c>
      <c r="J54" s="216" t="s">
        <v>3643</v>
      </c>
      <c r="K54" s="217" t="s">
        <v>3644</v>
      </c>
    </row>
    <row r="55" spans="1:11" ht="15" customHeight="1" x14ac:dyDescent="0.25">
      <c r="A55" s="218">
        <v>50</v>
      </c>
      <c r="B55" s="219" t="s">
        <v>2592</v>
      </c>
      <c r="C55" s="220" t="s">
        <v>2593</v>
      </c>
      <c r="D55" s="218" t="s">
        <v>1746</v>
      </c>
      <c r="E55" s="218" t="s">
        <v>1644</v>
      </c>
      <c r="F55" s="218" t="s">
        <v>1777</v>
      </c>
      <c r="G55" s="218" t="s">
        <v>2604</v>
      </c>
      <c r="H55" s="218" t="s">
        <v>1718</v>
      </c>
      <c r="I55" s="218" t="s">
        <v>1885</v>
      </c>
      <c r="J55" s="221" t="s">
        <v>3671</v>
      </c>
      <c r="K55" s="222" t="s">
        <v>3672</v>
      </c>
    </row>
    <row r="56" spans="1:11" ht="15" customHeight="1" x14ac:dyDescent="0.25">
      <c r="A56" s="69">
        <v>51</v>
      </c>
      <c r="B56" s="99" t="s">
        <v>2607</v>
      </c>
      <c r="C56" s="70" t="s">
        <v>2362</v>
      </c>
      <c r="D56" s="69" t="s">
        <v>1746</v>
      </c>
      <c r="E56" s="69" t="s">
        <v>1644</v>
      </c>
      <c r="F56" s="69" t="s">
        <v>1857</v>
      </c>
      <c r="G56" s="69" t="s">
        <v>1778</v>
      </c>
      <c r="H56" s="69" t="s">
        <v>2616</v>
      </c>
      <c r="I56" s="69" t="s">
        <v>1677</v>
      </c>
      <c r="J56" s="216" t="s">
        <v>3671</v>
      </c>
      <c r="K56" s="217" t="s">
        <v>3672</v>
      </c>
    </row>
    <row r="57" spans="1:11" ht="15" customHeight="1" x14ac:dyDescent="0.25">
      <c r="A57" s="218">
        <v>52</v>
      </c>
      <c r="B57" s="219" t="s">
        <v>2618</v>
      </c>
      <c r="C57" s="220" t="s">
        <v>2619</v>
      </c>
      <c r="D57" s="218" t="s">
        <v>1746</v>
      </c>
      <c r="E57" s="218" t="s">
        <v>1644</v>
      </c>
      <c r="F57" s="218" t="s">
        <v>1749</v>
      </c>
      <c r="G57" s="218" t="s">
        <v>1778</v>
      </c>
      <c r="H57" s="218" t="s">
        <v>1718</v>
      </c>
      <c r="I57" s="218" t="s">
        <v>1699</v>
      </c>
      <c r="J57" s="221" t="s">
        <v>3671</v>
      </c>
      <c r="K57" s="222" t="s">
        <v>3672</v>
      </c>
    </row>
    <row r="58" spans="1:11" ht="21.75" customHeight="1" x14ac:dyDescent="0.25">
      <c r="A58" s="69">
        <v>53</v>
      </c>
      <c r="B58" s="99" t="s">
        <v>2636</v>
      </c>
      <c r="C58" s="70" t="s">
        <v>2637</v>
      </c>
      <c r="D58" s="69" t="s">
        <v>1746</v>
      </c>
      <c r="E58" s="69" t="s">
        <v>1644</v>
      </c>
      <c r="F58" s="69" t="s">
        <v>1700</v>
      </c>
      <c r="G58" s="69" t="s">
        <v>1778</v>
      </c>
      <c r="H58" s="69" t="s">
        <v>1718</v>
      </c>
      <c r="I58" s="69" t="s">
        <v>1677</v>
      </c>
      <c r="J58" s="216" t="s">
        <v>3651</v>
      </c>
      <c r="K58" s="217" t="s">
        <v>3652</v>
      </c>
    </row>
    <row r="59" spans="1:11" ht="15" customHeight="1" x14ac:dyDescent="0.25">
      <c r="A59" s="218">
        <v>54</v>
      </c>
      <c r="B59" s="219" t="s">
        <v>2651</v>
      </c>
      <c r="C59" s="220" t="s">
        <v>2652</v>
      </c>
      <c r="D59" s="218" t="s">
        <v>1746</v>
      </c>
      <c r="E59" s="218" t="s">
        <v>1644</v>
      </c>
      <c r="F59" s="218" t="s">
        <v>1857</v>
      </c>
      <c r="G59" s="218" t="s">
        <v>1778</v>
      </c>
      <c r="H59" s="218" t="s">
        <v>1718</v>
      </c>
      <c r="I59" s="218" t="s">
        <v>1981</v>
      </c>
      <c r="J59" s="221" t="s">
        <v>3671</v>
      </c>
      <c r="K59" s="222" t="s">
        <v>3672</v>
      </c>
    </row>
    <row r="60" spans="1:11" ht="15" customHeight="1" x14ac:dyDescent="0.25">
      <c r="A60" s="69">
        <v>55</v>
      </c>
      <c r="B60" s="99" t="s">
        <v>2666</v>
      </c>
      <c r="C60" s="70" t="s">
        <v>2667</v>
      </c>
      <c r="D60" s="69" t="s">
        <v>1746</v>
      </c>
      <c r="E60" s="69" t="s">
        <v>1644</v>
      </c>
      <c r="F60" s="69" t="s">
        <v>1857</v>
      </c>
      <c r="G60" s="69" t="s">
        <v>1778</v>
      </c>
      <c r="H60" s="69" t="s">
        <v>1718</v>
      </c>
      <c r="I60" s="69" t="s">
        <v>1748</v>
      </c>
      <c r="J60" s="216" t="s">
        <v>3671</v>
      </c>
      <c r="K60" s="217" t="s">
        <v>3672</v>
      </c>
    </row>
    <row r="61" spans="1:11" ht="15" customHeight="1" x14ac:dyDescent="0.25">
      <c r="A61" s="218">
        <v>56</v>
      </c>
      <c r="B61" s="219" t="s">
        <v>2685</v>
      </c>
      <c r="C61" s="220" t="s">
        <v>2686</v>
      </c>
      <c r="D61" s="218" t="s">
        <v>1856</v>
      </c>
      <c r="E61" s="218" t="s">
        <v>1644</v>
      </c>
      <c r="F61" s="218" t="s">
        <v>1857</v>
      </c>
      <c r="G61" s="218" t="s">
        <v>1858</v>
      </c>
      <c r="H61" s="218" t="s">
        <v>2616</v>
      </c>
      <c r="I61" s="218" t="s">
        <v>1677</v>
      </c>
      <c r="J61" s="221" t="s">
        <v>3673</v>
      </c>
      <c r="K61" s="222" t="s">
        <v>3674</v>
      </c>
    </row>
    <row r="62" spans="1:11" ht="15" customHeight="1" x14ac:dyDescent="0.25">
      <c r="A62" s="69">
        <v>57</v>
      </c>
      <c r="B62" s="99" t="s">
        <v>2700</v>
      </c>
      <c r="C62" s="70" t="s">
        <v>2701</v>
      </c>
      <c r="D62" s="69" t="s">
        <v>1746</v>
      </c>
      <c r="E62" s="69" t="s">
        <v>1644</v>
      </c>
      <c r="F62" s="69" t="s">
        <v>2714</v>
      </c>
      <c r="G62" s="69" t="s">
        <v>1863</v>
      </c>
      <c r="H62" s="69" t="s">
        <v>2713</v>
      </c>
      <c r="I62" s="69" t="s">
        <v>1719</v>
      </c>
      <c r="J62" s="216" t="s">
        <v>3673</v>
      </c>
      <c r="K62" s="217" t="s">
        <v>3674</v>
      </c>
    </row>
    <row r="63" spans="1:11" ht="15" customHeight="1" x14ac:dyDescent="0.25">
      <c r="A63" s="218">
        <v>58</v>
      </c>
      <c r="B63" s="219" t="s">
        <v>2716</v>
      </c>
      <c r="C63" s="220" t="s">
        <v>2701</v>
      </c>
      <c r="D63" s="218" t="s">
        <v>1746</v>
      </c>
      <c r="E63" s="218" t="s">
        <v>1644</v>
      </c>
      <c r="F63" s="218" t="s">
        <v>1857</v>
      </c>
      <c r="G63" s="218" t="s">
        <v>1677</v>
      </c>
      <c r="H63" s="218" t="s">
        <v>2713</v>
      </c>
      <c r="I63" s="218" t="s">
        <v>1915</v>
      </c>
      <c r="J63" s="221" t="s">
        <v>3673</v>
      </c>
      <c r="K63" s="222" t="s">
        <v>3674</v>
      </c>
    </row>
    <row r="64" spans="1:11" ht="15" customHeight="1" x14ac:dyDescent="0.25">
      <c r="A64" s="69">
        <v>59</v>
      </c>
      <c r="B64" s="99" t="s">
        <v>2728</v>
      </c>
      <c r="C64" s="70" t="s">
        <v>2729</v>
      </c>
      <c r="D64" s="69" t="s">
        <v>1746</v>
      </c>
      <c r="E64" s="69" t="s">
        <v>1644</v>
      </c>
      <c r="F64" s="69" t="s">
        <v>1857</v>
      </c>
      <c r="G64" s="69" t="s">
        <v>1677</v>
      </c>
      <c r="H64" s="69" t="s">
        <v>2616</v>
      </c>
      <c r="I64" s="69" t="s">
        <v>1981</v>
      </c>
      <c r="J64" s="216" t="s">
        <v>3667</v>
      </c>
      <c r="K64" s="217" t="s">
        <v>3668</v>
      </c>
    </row>
    <row r="65" spans="1:11" ht="15" customHeight="1" x14ac:dyDescent="0.25">
      <c r="A65" s="218">
        <v>60</v>
      </c>
      <c r="B65" s="219" t="s">
        <v>2744</v>
      </c>
      <c r="C65" s="220" t="s">
        <v>2745</v>
      </c>
      <c r="D65" s="218" t="s">
        <v>1746</v>
      </c>
      <c r="E65" s="218" t="s">
        <v>1644</v>
      </c>
      <c r="F65" s="218" t="s">
        <v>1749</v>
      </c>
      <c r="G65" s="218" t="s">
        <v>1677</v>
      </c>
      <c r="H65" s="218" t="s">
        <v>1718</v>
      </c>
      <c r="I65" s="218" t="s">
        <v>1981</v>
      </c>
      <c r="J65" s="221" t="s">
        <v>3667</v>
      </c>
      <c r="K65" s="222" t="s">
        <v>3668</v>
      </c>
    </row>
    <row r="66" spans="1:11" ht="15" customHeight="1" x14ac:dyDescent="0.25">
      <c r="A66" s="69">
        <v>61</v>
      </c>
      <c r="B66" s="99" t="s">
        <v>2759</v>
      </c>
      <c r="C66" s="70" t="s">
        <v>2760</v>
      </c>
      <c r="D66" s="69" t="s">
        <v>1746</v>
      </c>
      <c r="E66" s="69" t="s">
        <v>1644</v>
      </c>
      <c r="F66" s="69" t="s">
        <v>1857</v>
      </c>
      <c r="G66" s="69" t="s">
        <v>1677</v>
      </c>
      <c r="H66" s="69" t="s">
        <v>2774</v>
      </c>
      <c r="I66" s="69" t="s">
        <v>1885</v>
      </c>
      <c r="J66" s="216" t="s">
        <v>3675</v>
      </c>
      <c r="K66" s="217" t="s">
        <v>3676</v>
      </c>
    </row>
    <row r="67" spans="1:11" ht="18.75" customHeight="1" x14ac:dyDescent="0.25">
      <c r="A67" s="218">
        <v>62</v>
      </c>
      <c r="B67" s="219" t="s">
        <v>2777</v>
      </c>
      <c r="C67" s="220" t="s">
        <v>2778</v>
      </c>
      <c r="D67" s="218" t="s">
        <v>1746</v>
      </c>
      <c r="E67" s="218" t="s">
        <v>1644</v>
      </c>
      <c r="F67" s="218" t="s">
        <v>1700</v>
      </c>
      <c r="G67" s="218" t="s">
        <v>1677</v>
      </c>
      <c r="H67" s="218" t="s">
        <v>1718</v>
      </c>
      <c r="I67" s="218" t="s">
        <v>1653</v>
      </c>
      <c r="J67" s="221" t="s">
        <v>3677</v>
      </c>
      <c r="K67" s="222" t="s">
        <v>3678</v>
      </c>
    </row>
    <row r="68" spans="1:11" ht="18.75" customHeight="1" x14ac:dyDescent="0.25">
      <c r="A68" s="69">
        <v>63</v>
      </c>
      <c r="B68" s="99" t="s">
        <v>2796</v>
      </c>
      <c r="C68" s="70" t="s">
        <v>2076</v>
      </c>
      <c r="D68" s="69" t="s">
        <v>1746</v>
      </c>
      <c r="E68" s="69" t="s">
        <v>1644</v>
      </c>
      <c r="F68" s="69" t="s">
        <v>1857</v>
      </c>
      <c r="G68" s="69" t="s">
        <v>1778</v>
      </c>
      <c r="H68" s="69" t="s">
        <v>2774</v>
      </c>
      <c r="I68" s="69" t="s">
        <v>2320</v>
      </c>
      <c r="J68" s="216" t="s">
        <v>3677</v>
      </c>
      <c r="K68" s="217" t="s">
        <v>3678</v>
      </c>
    </row>
    <row r="69" spans="1:11" ht="18.75" customHeight="1" x14ac:dyDescent="0.25">
      <c r="A69" s="218">
        <v>64</v>
      </c>
      <c r="B69" s="219" t="s">
        <v>2810</v>
      </c>
      <c r="C69" s="220" t="s">
        <v>2811</v>
      </c>
      <c r="D69" s="218" t="s">
        <v>1746</v>
      </c>
      <c r="E69" s="218" t="s">
        <v>1644</v>
      </c>
      <c r="F69" s="218" t="s">
        <v>1857</v>
      </c>
      <c r="G69" s="218" t="s">
        <v>2824</v>
      </c>
      <c r="H69" s="218" t="s">
        <v>2774</v>
      </c>
      <c r="I69" s="218" t="s">
        <v>1645</v>
      </c>
      <c r="J69" s="221" t="s">
        <v>3677</v>
      </c>
      <c r="K69" s="222" t="s">
        <v>3678</v>
      </c>
    </row>
    <row r="70" spans="1:11" ht="15" customHeight="1" x14ac:dyDescent="0.25">
      <c r="A70" s="69">
        <v>65</v>
      </c>
      <c r="B70" s="99" t="s">
        <v>2827</v>
      </c>
      <c r="C70" s="70" t="s">
        <v>2122</v>
      </c>
      <c r="D70" s="69" t="s">
        <v>1746</v>
      </c>
      <c r="E70" s="69" t="s">
        <v>2141</v>
      </c>
      <c r="F70" s="69" t="s">
        <v>1700</v>
      </c>
      <c r="G70" s="69" t="s">
        <v>1778</v>
      </c>
      <c r="H70" s="69" t="s">
        <v>1718</v>
      </c>
      <c r="I70" s="69" t="s">
        <v>1677</v>
      </c>
      <c r="J70" s="216" t="s">
        <v>3659</v>
      </c>
      <c r="K70" s="217" t="s">
        <v>3660</v>
      </c>
    </row>
    <row r="71" spans="1:11" ht="18.75" customHeight="1" x14ac:dyDescent="0.25">
      <c r="A71" s="218">
        <v>66</v>
      </c>
      <c r="B71" s="219" t="s">
        <v>2841</v>
      </c>
      <c r="C71" s="220" t="s">
        <v>2842</v>
      </c>
      <c r="D71" s="218" t="s">
        <v>2140</v>
      </c>
      <c r="E71" s="218" t="s">
        <v>2141</v>
      </c>
      <c r="F71" s="218" t="s">
        <v>1749</v>
      </c>
      <c r="G71" s="218" t="s">
        <v>1863</v>
      </c>
      <c r="H71" s="218" t="s">
        <v>2853</v>
      </c>
      <c r="I71" s="218" t="s">
        <v>1719</v>
      </c>
      <c r="J71" s="221" t="s">
        <v>3679</v>
      </c>
      <c r="K71" s="222" t="s">
        <v>3680</v>
      </c>
    </row>
    <row r="72" spans="1:11" ht="18.75" customHeight="1" x14ac:dyDescent="0.25">
      <c r="A72" s="69">
        <v>67</v>
      </c>
      <c r="B72" s="99" t="s">
        <v>2856</v>
      </c>
      <c r="C72" s="70" t="s">
        <v>2842</v>
      </c>
      <c r="D72" s="69" t="s">
        <v>2140</v>
      </c>
      <c r="E72" s="69" t="s">
        <v>2141</v>
      </c>
      <c r="F72" s="69" t="s">
        <v>1700</v>
      </c>
      <c r="G72" s="69" t="s">
        <v>1863</v>
      </c>
      <c r="H72" s="69" t="s">
        <v>2853</v>
      </c>
      <c r="I72" s="69" t="s">
        <v>1748</v>
      </c>
      <c r="J72" s="216" t="s">
        <v>3679</v>
      </c>
      <c r="K72" s="217" t="s">
        <v>3680</v>
      </c>
    </row>
    <row r="73" spans="1:11" ht="15" customHeight="1" x14ac:dyDescent="0.25">
      <c r="A73" s="218">
        <v>68</v>
      </c>
      <c r="B73" s="219" t="s">
        <v>2865</v>
      </c>
      <c r="C73" s="220" t="s">
        <v>1726</v>
      </c>
      <c r="D73" s="218" t="s">
        <v>1746</v>
      </c>
      <c r="E73" s="218" t="s">
        <v>1644</v>
      </c>
      <c r="F73" s="218" t="s">
        <v>1777</v>
      </c>
      <c r="G73" s="218" t="s">
        <v>1863</v>
      </c>
      <c r="H73" s="218" t="s">
        <v>1718</v>
      </c>
      <c r="I73" s="218" t="s">
        <v>1645</v>
      </c>
      <c r="J73" s="221" t="s">
        <v>3681</v>
      </c>
      <c r="K73" s="222" t="s">
        <v>3682</v>
      </c>
    </row>
    <row r="74" spans="1:11" ht="15" customHeight="1" x14ac:dyDescent="0.25">
      <c r="A74" s="69">
        <v>69</v>
      </c>
      <c r="B74" s="99" t="s">
        <v>2882</v>
      </c>
      <c r="C74" s="70" t="s">
        <v>1960</v>
      </c>
      <c r="D74" s="69" t="s">
        <v>2140</v>
      </c>
      <c r="E74" s="69" t="s">
        <v>2141</v>
      </c>
      <c r="F74" s="69" t="s">
        <v>1777</v>
      </c>
      <c r="G74" s="69" t="s">
        <v>1778</v>
      </c>
      <c r="H74" s="69" t="s">
        <v>1718</v>
      </c>
      <c r="I74" s="69" t="s">
        <v>1748</v>
      </c>
      <c r="J74" s="216" t="s">
        <v>3649</v>
      </c>
      <c r="K74" s="217" t="s">
        <v>3650</v>
      </c>
    </row>
    <row r="75" spans="1:11" ht="23.25" customHeight="1" x14ac:dyDescent="0.25">
      <c r="A75" s="218">
        <v>70</v>
      </c>
      <c r="B75" s="219" t="s">
        <v>2896</v>
      </c>
      <c r="C75" s="220" t="s">
        <v>2729</v>
      </c>
      <c r="D75" s="218" t="s">
        <v>2140</v>
      </c>
      <c r="E75" s="218" t="s">
        <v>1644</v>
      </c>
      <c r="F75" s="218" t="s">
        <v>1777</v>
      </c>
      <c r="G75" s="218" t="s">
        <v>1677</v>
      </c>
      <c r="H75" s="218" t="s">
        <v>2908</v>
      </c>
      <c r="I75" s="218" t="s">
        <v>1915</v>
      </c>
      <c r="J75" s="221" t="s">
        <v>3649</v>
      </c>
      <c r="K75" s="222" t="s">
        <v>3650</v>
      </c>
    </row>
    <row r="76" spans="1:11" ht="15" customHeight="1" x14ac:dyDescent="0.25">
      <c r="A76" s="69">
        <v>71</v>
      </c>
      <c r="B76" s="99" t="s">
        <v>2911</v>
      </c>
      <c r="C76" s="70" t="s">
        <v>2166</v>
      </c>
      <c r="D76" s="69" t="s">
        <v>2183</v>
      </c>
      <c r="E76" s="69" t="s">
        <v>1856</v>
      </c>
      <c r="F76" s="69" t="s">
        <v>1678</v>
      </c>
      <c r="G76" s="69" t="s">
        <v>2209</v>
      </c>
      <c r="H76" s="69" t="s">
        <v>2925</v>
      </c>
      <c r="I76" s="69" t="s">
        <v>1653</v>
      </c>
      <c r="J76" s="216" t="s">
        <v>3683</v>
      </c>
      <c r="K76" s="217" t="s">
        <v>3684</v>
      </c>
    </row>
    <row r="77" spans="1:11" ht="15" customHeight="1" x14ac:dyDescent="0.25">
      <c r="A77" s="218">
        <v>72</v>
      </c>
      <c r="B77" s="219" t="s">
        <v>2928</v>
      </c>
      <c r="C77" s="220" t="s">
        <v>2191</v>
      </c>
      <c r="D77" s="218" t="s">
        <v>2183</v>
      </c>
      <c r="E77" s="218" t="s">
        <v>1856</v>
      </c>
      <c r="F77" s="218" t="s">
        <v>1749</v>
      </c>
      <c r="G77" s="218" t="s">
        <v>1915</v>
      </c>
      <c r="H77" s="218" t="s">
        <v>1718</v>
      </c>
      <c r="I77" s="218" t="s">
        <v>1645</v>
      </c>
      <c r="J77" s="221" t="s">
        <v>3683</v>
      </c>
      <c r="K77" s="222" t="s">
        <v>3684</v>
      </c>
    </row>
    <row r="78" spans="1:11" ht="15" customHeight="1" x14ac:dyDescent="0.25">
      <c r="A78" s="69">
        <v>73</v>
      </c>
      <c r="B78" s="99" t="s">
        <v>2939</v>
      </c>
      <c r="C78" s="70" t="s">
        <v>2940</v>
      </c>
      <c r="D78" s="69" t="s">
        <v>2183</v>
      </c>
      <c r="E78" s="69" t="s">
        <v>1856</v>
      </c>
      <c r="F78" s="69" t="s">
        <v>1749</v>
      </c>
      <c r="G78" s="69" t="s">
        <v>1915</v>
      </c>
      <c r="H78" s="69" t="s">
        <v>1718</v>
      </c>
      <c r="I78" s="69" t="s">
        <v>1699</v>
      </c>
      <c r="J78" s="216" t="s">
        <v>3663</v>
      </c>
      <c r="K78" s="217" t="s">
        <v>3664</v>
      </c>
    </row>
    <row r="79" spans="1:11" ht="21.75" customHeight="1" x14ac:dyDescent="0.25">
      <c r="A79" s="218">
        <v>74</v>
      </c>
      <c r="B79" s="219" t="s">
        <v>2954</v>
      </c>
      <c r="C79" s="220" t="s">
        <v>2955</v>
      </c>
      <c r="D79" s="218" t="s">
        <v>1746</v>
      </c>
      <c r="E79" s="218" t="s">
        <v>1644</v>
      </c>
      <c r="F79" s="218" t="s">
        <v>1749</v>
      </c>
      <c r="G79" s="218" t="s">
        <v>1677</v>
      </c>
      <c r="H79" s="218" t="s">
        <v>1718</v>
      </c>
      <c r="I79" s="218" t="s">
        <v>1653</v>
      </c>
      <c r="J79" s="221" t="s">
        <v>3665</v>
      </c>
      <c r="K79" s="222" t="s">
        <v>3666</v>
      </c>
    </row>
    <row r="80" spans="1:11" ht="21.75" customHeight="1" x14ac:dyDescent="0.25">
      <c r="A80" s="69">
        <v>75</v>
      </c>
      <c r="B80" s="99" t="s">
        <v>2970</v>
      </c>
      <c r="C80" s="70" t="s">
        <v>2971</v>
      </c>
      <c r="D80" s="69" t="s">
        <v>2183</v>
      </c>
      <c r="E80" s="69" t="s">
        <v>1644</v>
      </c>
      <c r="F80" s="69" t="s">
        <v>1700</v>
      </c>
      <c r="G80" s="69" t="s">
        <v>1677</v>
      </c>
      <c r="H80" s="69" t="s">
        <v>1718</v>
      </c>
      <c r="I80" s="69" t="s">
        <v>1719</v>
      </c>
      <c r="J80" s="216" t="s">
        <v>3665</v>
      </c>
      <c r="K80" s="217" t="s">
        <v>3666</v>
      </c>
    </row>
    <row r="81" spans="1:11" ht="21.75" customHeight="1" x14ac:dyDescent="0.25">
      <c r="A81" s="218">
        <v>76</v>
      </c>
      <c r="B81" s="219" t="s">
        <v>2983</v>
      </c>
      <c r="C81" s="220" t="s">
        <v>2166</v>
      </c>
      <c r="D81" s="218" t="s">
        <v>2183</v>
      </c>
      <c r="E81" s="218" t="s">
        <v>1644</v>
      </c>
      <c r="F81" s="218" t="s">
        <v>1857</v>
      </c>
      <c r="G81" s="218" t="s">
        <v>1863</v>
      </c>
      <c r="H81" s="218" t="s">
        <v>1718</v>
      </c>
      <c r="I81" s="218" t="s">
        <v>1699</v>
      </c>
      <c r="J81" s="221" t="s">
        <v>3665</v>
      </c>
      <c r="K81" s="222" t="s">
        <v>3666</v>
      </c>
    </row>
    <row r="82" spans="1:11" ht="21.75" customHeight="1" x14ac:dyDescent="0.25">
      <c r="A82" s="69">
        <v>77</v>
      </c>
      <c r="B82" s="99" t="s">
        <v>2997</v>
      </c>
      <c r="C82" s="70" t="s">
        <v>2191</v>
      </c>
      <c r="D82" s="69" t="s">
        <v>1642</v>
      </c>
      <c r="E82" s="69" t="s">
        <v>1644</v>
      </c>
      <c r="F82" s="69" t="s">
        <v>1700</v>
      </c>
      <c r="G82" s="69" t="s">
        <v>1749</v>
      </c>
      <c r="H82" s="69" t="s">
        <v>2183</v>
      </c>
      <c r="I82" s="69" t="s">
        <v>1981</v>
      </c>
      <c r="J82" s="216" t="s">
        <v>3665</v>
      </c>
      <c r="K82" s="217" t="s">
        <v>3666</v>
      </c>
    </row>
    <row r="83" spans="1:11" ht="21.75" customHeight="1" x14ac:dyDescent="0.25">
      <c r="A83" s="218">
        <v>78</v>
      </c>
      <c r="B83" s="219" t="s">
        <v>3005</v>
      </c>
      <c r="C83" s="220" t="s">
        <v>2955</v>
      </c>
      <c r="D83" s="218" t="s">
        <v>2183</v>
      </c>
      <c r="E83" s="218" t="s">
        <v>1644</v>
      </c>
      <c r="F83" s="218" t="s">
        <v>1646</v>
      </c>
      <c r="G83" s="218" t="s">
        <v>2163</v>
      </c>
      <c r="H83" s="218" t="s">
        <v>1718</v>
      </c>
      <c r="I83" s="218" t="s">
        <v>1699</v>
      </c>
      <c r="J83" s="221" t="s">
        <v>3665</v>
      </c>
      <c r="K83" s="222" t="s">
        <v>3666</v>
      </c>
    </row>
    <row r="84" spans="1:11" ht="18.75" customHeight="1" x14ac:dyDescent="0.25">
      <c r="A84" s="69">
        <v>79</v>
      </c>
      <c r="B84" s="99" t="s">
        <v>3018</v>
      </c>
      <c r="C84" s="70" t="s">
        <v>2214</v>
      </c>
      <c r="D84" s="69" t="s">
        <v>1746</v>
      </c>
      <c r="E84" s="69" t="s">
        <v>1644</v>
      </c>
      <c r="F84" s="69" t="s">
        <v>1981</v>
      </c>
      <c r="G84" s="69" t="s">
        <v>1677</v>
      </c>
      <c r="H84" s="69" t="s">
        <v>1718</v>
      </c>
      <c r="I84" s="69" t="s">
        <v>1645</v>
      </c>
      <c r="J84" s="216" t="s">
        <v>3643</v>
      </c>
      <c r="K84" s="217" t="s">
        <v>3644</v>
      </c>
    </row>
    <row r="85" spans="1:11" ht="18.75" customHeight="1" x14ac:dyDescent="0.25">
      <c r="A85" s="218">
        <v>80</v>
      </c>
      <c r="B85" s="219" t="s">
        <v>3029</v>
      </c>
      <c r="C85" s="220" t="s">
        <v>1783</v>
      </c>
      <c r="D85" s="218" t="s">
        <v>1746</v>
      </c>
      <c r="E85" s="218" t="s">
        <v>1644</v>
      </c>
      <c r="F85" s="218" t="s">
        <v>1700</v>
      </c>
      <c r="G85" s="218" t="s">
        <v>1778</v>
      </c>
      <c r="H85" s="218" t="s">
        <v>1718</v>
      </c>
      <c r="I85" s="218" t="s">
        <v>1885</v>
      </c>
      <c r="J85" s="221" t="s">
        <v>3643</v>
      </c>
      <c r="K85" s="222" t="s">
        <v>3644</v>
      </c>
    </row>
    <row r="86" spans="1:11" ht="18.75" customHeight="1" x14ac:dyDescent="0.25">
      <c r="A86" s="69">
        <v>81</v>
      </c>
      <c r="B86" s="99" t="s">
        <v>3041</v>
      </c>
      <c r="C86" s="70" t="s">
        <v>1811</v>
      </c>
      <c r="D86" s="69" t="s">
        <v>1746</v>
      </c>
      <c r="E86" s="69" t="s">
        <v>1644</v>
      </c>
      <c r="F86" s="69" t="s">
        <v>1981</v>
      </c>
      <c r="G86" s="69" t="s">
        <v>1863</v>
      </c>
      <c r="H86" s="69" t="s">
        <v>1718</v>
      </c>
      <c r="I86" s="69" t="s">
        <v>1915</v>
      </c>
      <c r="J86" s="216" t="s">
        <v>3643</v>
      </c>
      <c r="K86" s="217" t="s">
        <v>3644</v>
      </c>
    </row>
    <row r="87" spans="1:11" ht="15" customHeight="1" x14ac:dyDescent="0.25">
      <c r="A87" s="218">
        <v>82</v>
      </c>
      <c r="B87" s="219" t="s">
        <v>3055</v>
      </c>
      <c r="C87" s="220" t="s">
        <v>2007</v>
      </c>
      <c r="D87" s="218" t="s">
        <v>2028</v>
      </c>
      <c r="E87" s="218" t="s">
        <v>2030</v>
      </c>
      <c r="F87" s="218" t="s">
        <v>1646</v>
      </c>
      <c r="G87" s="218" t="s">
        <v>1863</v>
      </c>
      <c r="H87" s="218" t="s">
        <v>1718</v>
      </c>
      <c r="I87" s="218" t="s">
        <v>2320</v>
      </c>
      <c r="J87" s="221" t="s">
        <v>3657</v>
      </c>
      <c r="K87" s="222" t="s">
        <v>3658</v>
      </c>
    </row>
    <row r="88" spans="1:11" ht="18.75" customHeight="1" x14ac:dyDescent="0.25">
      <c r="A88" s="69">
        <v>83</v>
      </c>
      <c r="B88" s="99" t="s">
        <v>3068</v>
      </c>
      <c r="C88" s="70" t="s">
        <v>3069</v>
      </c>
      <c r="D88" s="69" t="s">
        <v>1746</v>
      </c>
      <c r="E88" s="69" t="s">
        <v>1644</v>
      </c>
      <c r="F88" s="69" t="s">
        <v>1777</v>
      </c>
      <c r="G88" s="69" t="s">
        <v>1677</v>
      </c>
      <c r="H88" s="69" t="s">
        <v>1718</v>
      </c>
      <c r="I88" s="69" t="s">
        <v>1719</v>
      </c>
      <c r="J88" s="216" t="s">
        <v>3647</v>
      </c>
      <c r="K88" s="217" t="s">
        <v>3648</v>
      </c>
    </row>
    <row r="89" spans="1:11" ht="21.75" customHeight="1" x14ac:dyDescent="0.25">
      <c r="A89" s="218">
        <v>84</v>
      </c>
      <c r="B89" s="219" t="s">
        <v>3086</v>
      </c>
      <c r="C89" s="220" t="s">
        <v>1960</v>
      </c>
      <c r="D89" s="218" t="s">
        <v>2140</v>
      </c>
      <c r="E89" s="218" t="s">
        <v>1644</v>
      </c>
      <c r="F89" s="218" t="s">
        <v>1857</v>
      </c>
      <c r="G89" s="218" t="s">
        <v>1778</v>
      </c>
      <c r="H89" s="218" t="s">
        <v>1718</v>
      </c>
      <c r="I89" s="218" t="s">
        <v>1981</v>
      </c>
      <c r="J89" s="221" t="s">
        <v>3651</v>
      </c>
      <c r="K89" s="222" t="s">
        <v>3652</v>
      </c>
    </row>
    <row r="90" spans="1:11" ht="21.75" customHeight="1" x14ac:dyDescent="0.25">
      <c r="A90" s="69">
        <v>85</v>
      </c>
      <c r="B90" s="99" t="s">
        <v>3098</v>
      </c>
      <c r="C90" s="70" t="s">
        <v>3099</v>
      </c>
      <c r="D90" s="69" t="s">
        <v>1746</v>
      </c>
      <c r="E90" s="69" t="s">
        <v>1644</v>
      </c>
      <c r="F90" s="69" t="s">
        <v>1777</v>
      </c>
      <c r="G90" s="69" t="s">
        <v>3111</v>
      </c>
      <c r="H90" s="69" t="s">
        <v>1718</v>
      </c>
      <c r="I90" s="69" t="s">
        <v>1653</v>
      </c>
      <c r="J90" s="216" t="s">
        <v>3651</v>
      </c>
      <c r="K90" s="217" t="s">
        <v>3652</v>
      </c>
    </row>
    <row r="91" spans="1:11" ht="21.75" customHeight="1" x14ac:dyDescent="0.25">
      <c r="A91" s="218">
        <v>86</v>
      </c>
      <c r="B91" s="219" t="s">
        <v>3114</v>
      </c>
      <c r="C91" s="220" t="s">
        <v>1783</v>
      </c>
      <c r="D91" s="218" t="s">
        <v>1746</v>
      </c>
      <c r="E91" s="218" t="s">
        <v>1644</v>
      </c>
      <c r="F91" s="218" t="s">
        <v>1857</v>
      </c>
      <c r="G91" s="218" t="s">
        <v>1677</v>
      </c>
      <c r="H91" s="218" t="s">
        <v>1718</v>
      </c>
      <c r="I91" s="218" t="s">
        <v>2320</v>
      </c>
      <c r="J91" s="221" t="s">
        <v>3651</v>
      </c>
      <c r="K91" s="222" t="s">
        <v>3652</v>
      </c>
    </row>
    <row r="92" spans="1:11" ht="18.75" customHeight="1" x14ac:dyDescent="0.25">
      <c r="A92" s="69">
        <v>87</v>
      </c>
      <c r="B92" s="99" t="s">
        <v>3127</v>
      </c>
      <c r="C92" s="70" t="s">
        <v>2544</v>
      </c>
      <c r="D92" s="69" t="s">
        <v>1746</v>
      </c>
      <c r="E92" s="69" t="s">
        <v>1644</v>
      </c>
      <c r="F92" s="69" t="s">
        <v>1678</v>
      </c>
      <c r="G92" s="69" t="s">
        <v>1778</v>
      </c>
      <c r="H92" s="69" t="s">
        <v>1718</v>
      </c>
      <c r="I92" s="69" t="s">
        <v>1699</v>
      </c>
      <c r="J92" s="216" t="s">
        <v>3643</v>
      </c>
      <c r="K92" s="217" t="s">
        <v>3644</v>
      </c>
    </row>
    <row r="93" spans="1:11" ht="15" customHeight="1" x14ac:dyDescent="0.25">
      <c r="A93" s="218">
        <v>88</v>
      </c>
      <c r="B93" s="219" t="s">
        <v>3139</v>
      </c>
      <c r="C93" s="220" t="s">
        <v>3140</v>
      </c>
      <c r="D93" s="218" t="s">
        <v>1746</v>
      </c>
      <c r="E93" s="218" t="s">
        <v>1644</v>
      </c>
      <c r="F93" s="218" t="s">
        <v>1777</v>
      </c>
      <c r="G93" s="218" t="s">
        <v>1863</v>
      </c>
      <c r="H93" s="218" t="s">
        <v>1718</v>
      </c>
      <c r="I93" s="218" t="s">
        <v>2320</v>
      </c>
      <c r="J93" s="221" t="s">
        <v>3649</v>
      </c>
      <c r="K93" s="222" t="s">
        <v>3650</v>
      </c>
    </row>
    <row r="94" spans="1:11" ht="18.75" customHeight="1" x14ac:dyDescent="0.25">
      <c r="A94" s="69">
        <v>89</v>
      </c>
      <c r="B94" s="99" t="s">
        <v>3153</v>
      </c>
      <c r="C94" s="70" t="s">
        <v>3154</v>
      </c>
      <c r="D94" s="69" t="s">
        <v>1746</v>
      </c>
      <c r="E94" s="69" t="s">
        <v>1910</v>
      </c>
      <c r="F94" s="69" t="s">
        <v>1700</v>
      </c>
      <c r="G94" s="69" t="s">
        <v>1677</v>
      </c>
      <c r="H94" s="69" t="s">
        <v>1718</v>
      </c>
      <c r="I94" s="69" t="s">
        <v>1981</v>
      </c>
      <c r="J94" s="216" t="s">
        <v>3643</v>
      </c>
      <c r="K94" s="217" t="s">
        <v>3644</v>
      </c>
    </row>
    <row r="95" spans="1:11" ht="18.75" customHeight="1" x14ac:dyDescent="0.25">
      <c r="A95" s="218">
        <v>90</v>
      </c>
      <c r="B95" s="219" t="s">
        <v>3166</v>
      </c>
      <c r="C95" s="220" t="s">
        <v>2214</v>
      </c>
      <c r="D95" s="218" t="s">
        <v>1746</v>
      </c>
      <c r="E95" s="218" t="s">
        <v>1910</v>
      </c>
      <c r="F95" s="218" t="s">
        <v>1981</v>
      </c>
      <c r="G95" s="218" t="s">
        <v>1863</v>
      </c>
      <c r="H95" s="218" t="s">
        <v>1718</v>
      </c>
      <c r="I95" s="218" t="s">
        <v>1885</v>
      </c>
      <c r="J95" s="221" t="s">
        <v>3643</v>
      </c>
      <c r="K95" s="222" t="s">
        <v>3644</v>
      </c>
    </row>
    <row r="96" spans="1:11" ht="15" customHeight="1" x14ac:dyDescent="0.25">
      <c r="A96" s="69">
        <v>91</v>
      </c>
      <c r="B96" s="99" t="s">
        <v>3179</v>
      </c>
      <c r="C96" s="70" t="s">
        <v>3180</v>
      </c>
      <c r="D96" s="69" t="s">
        <v>1746</v>
      </c>
      <c r="E96" s="69" t="s">
        <v>1644</v>
      </c>
      <c r="F96" s="69" t="s">
        <v>1749</v>
      </c>
      <c r="G96" s="69" t="s">
        <v>1858</v>
      </c>
      <c r="H96" s="69" t="s">
        <v>1718</v>
      </c>
      <c r="I96" s="69" t="s">
        <v>1719</v>
      </c>
      <c r="J96" s="216" t="s">
        <v>3671</v>
      </c>
      <c r="K96" s="217" t="s">
        <v>3672</v>
      </c>
    </row>
    <row r="97" spans="1:11" ht="15" customHeight="1" x14ac:dyDescent="0.25">
      <c r="A97" s="218">
        <v>92</v>
      </c>
      <c r="B97" s="219" t="s">
        <v>3191</v>
      </c>
      <c r="C97" s="220" t="s">
        <v>3192</v>
      </c>
      <c r="D97" s="218" t="s">
        <v>1746</v>
      </c>
      <c r="E97" s="218" t="s">
        <v>1644</v>
      </c>
      <c r="F97" s="218" t="s">
        <v>1857</v>
      </c>
      <c r="G97" s="218" t="s">
        <v>1753</v>
      </c>
      <c r="H97" s="218" t="s">
        <v>1718</v>
      </c>
      <c r="I97" s="218" t="s">
        <v>1748</v>
      </c>
      <c r="J97" s="221" t="s">
        <v>3671</v>
      </c>
      <c r="K97" s="222" t="s">
        <v>3672</v>
      </c>
    </row>
    <row r="98" spans="1:11" ht="15" customHeight="1" x14ac:dyDescent="0.25">
      <c r="A98" s="69">
        <v>93</v>
      </c>
      <c r="B98" s="99" t="s">
        <v>3203</v>
      </c>
      <c r="C98" s="70" t="s">
        <v>2637</v>
      </c>
      <c r="D98" s="69" t="s">
        <v>1746</v>
      </c>
      <c r="E98" s="69" t="s">
        <v>1644</v>
      </c>
      <c r="F98" s="69" t="s">
        <v>1646</v>
      </c>
      <c r="G98" s="69" t="s">
        <v>1863</v>
      </c>
      <c r="H98" s="69" t="s">
        <v>1718</v>
      </c>
      <c r="I98" s="69" t="s">
        <v>1748</v>
      </c>
      <c r="J98" s="216" t="s">
        <v>3671</v>
      </c>
      <c r="K98" s="217" t="s">
        <v>3672</v>
      </c>
    </row>
    <row r="99" spans="1:11" ht="21.75" customHeight="1" x14ac:dyDescent="0.25">
      <c r="A99" s="218">
        <v>94</v>
      </c>
      <c r="B99" s="219" t="s">
        <v>3215</v>
      </c>
      <c r="C99" s="220" t="s">
        <v>2729</v>
      </c>
      <c r="D99" s="218" t="s">
        <v>1746</v>
      </c>
      <c r="E99" s="218" t="s">
        <v>1644</v>
      </c>
      <c r="F99" s="218" t="s">
        <v>1678</v>
      </c>
      <c r="G99" s="218" t="s">
        <v>1778</v>
      </c>
      <c r="H99" s="218" t="s">
        <v>1718</v>
      </c>
      <c r="I99" s="218" t="s">
        <v>1699</v>
      </c>
      <c r="J99" s="221" t="s">
        <v>3651</v>
      </c>
      <c r="K99" s="222" t="s">
        <v>3652</v>
      </c>
    </row>
    <row r="100" spans="1:11" ht="15" customHeight="1" x14ac:dyDescent="0.25">
      <c r="A100" s="69">
        <v>95</v>
      </c>
      <c r="B100" s="99" t="s">
        <v>3228</v>
      </c>
      <c r="C100" s="70" t="s">
        <v>2637</v>
      </c>
      <c r="D100" s="69" t="s">
        <v>1746</v>
      </c>
      <c r="E100" s="69" t="s">
        <v>1644</v>
      </c>
      <c r="F100" s="69" t="s">
        <v>1646</v>
      </c>
      <c r="G100" s="69" t="s">
        <v>1677</v>
      </c>
      <c r="H100" s="69" t="s">
        <v>1718</v>
      </c>
      <c r="I100" s="69" t="s">
        <v>1748</v>
      </c>
      <c r="J100" s="216" t="s">
        <v>3671</v>
      </c>
      <c r="K100" s="217" t="s">
        <v>3672</v>
      </c>
    </row>
    <row r="101" spans="1:11" ht="18.75" customHeight="1" x14ac:dyDescent="0.25">
      <c r="A101" s="218">
        <v>96</v>
      </c>
      <c r="B101" s="219" t="s">
        <v>3240</v>
      </c>
      <c r="C101" s="220" t="s">
        <v>2434</v>
      </c>
      <c r="D101" s="218" t="s">
        <v>1746</v>
      </c>
      <c r="E101" s="218" t="s">
        <v>1644</v>
      </c>
      <c r="F101" s="218" t="s">
        <v>1749</v>
      </c>
      <c r="G101" s="218" t="s">
        <v>1863</v>
      </c>
      <c r="H101" s="218" t="s">
        <v>1718</v>
      </c>
      <c r="I101" s="218" t="s">
        <v>1719</v>
      </c>
      <c r="J101" s="221" t="s">
        <v>3643</v>
      </c>
      <c r="K101" s="222" t="s">
        <v>3644</v>
      </c>
    </row>
    <row r="102" spans="1:11" ht="18.75" customHeight="1" x14ac:dyDescent="0.25">
      <c r="A102" s="69">
        <v>97</v>
      </c>
      <c r="B102" s="99" t="s">
        <v>3242</v>
      </c>
      <c r="C102" s="70" t="s">
        <v>3256</v>
      </c>
      <c r="D102" s="69" t="s">
        <v>1746</v>
      </c>
      <c r="E102" s="69" t="s">
        <v>1644</v>
      </c>
      <c r="F102" s="69" t="s">
        <v>1700</v>
      </c>
      <c r="G102" s="69" t="s">
        <v>1858</v>
      </c>
      <c r="H102" s="69" t="s">
        <v>3268</v>
      </c>
      <c r="I102" s="69" t="s">
        <v>1748</v>
      </c>
      <c r="J102" s="216" t="s">
        <v>3643</v>
      </c>
      <c r="K102" s="217" t="s">
        <v>3644</v>
      </c>
    </row>
    <row r="103" spans="1:11" ht="18.75" customHeight="1" x14ac:dyDescent="0.25">
      <c r="A103" s="218">
        <v>98</v>
      </c>
      <c r="B103" s="219" t="s">
        <v>1293</v>
      </c>
      <c r="C103" s="220" t="s">
        <v>2269</v>
      </c>
      <c r="D103" s="218" t="s">
        <v>1746</v>
      </c>
      <c r="E103" s="218" t="s">
        <v>1644</v>
      </c>
      <c r="F103" s="218" t="s">
        <v>1646</v>
      </c>
      <c r="G103" s="218" t="s">
        <v>1863</v>
      </c>
      <c r="H103" s="218" t="s">
        <v>1718</v>
      </c>
      <c r="I103" s="218" t="s">
        <v>1645</v>
      </c>
      <c r="J103" s="221" t="s">
        <v>3643</v>
      </c>
      <c r="K103" s="222" t="s">
        <v>3644</v>
      </c>
    </row>
    <row r="104" spans="1:11" ht="18.75" customHeight="1" x14ac:dyDescent="0.25">
      <c r="A104" s="69">
        <v>99</v>
      </c>
      <c r="B104" s="99" t="s">
        <v>3284</v>
      </c>
      <c r="C104" s="70" t="s">
        <v>3285</v>
      </c>
      <c r="D104" s="69" t="s">
        <v>1746</v>
      </c>
      <c r="E104" s="69" t="s">
        <v>1644</v>
      </c>
      <c r="F104" s="69" t="s">
        <v>3298</v>
      </c>
      <c r="G104" s="69" t="s">
        <v>1863</v>
      </c>
      <c r="H104" s="69" t="s">
        <v>1718</v>
      </c>
      <c r="I104" s="69" t="s">
        <v>1645</v>
      </c>
      <c r="J104" s="216" t="s">
        <v>3645</v>
      </c>
      <c r="K104" s="217" t="s">
        <v>3646</v>
      </c>
    </row>
    <row r="105" spans="1:11" ht="23.25" customHeight="1" x14ac:dyDescent="0.25">
      <c r="A105" s="218">
        <v>100</v>
      </c>
      <c r="B105" s="219" t="s">
        <v>3301</v>
      </c>
      <c r="C105" s="220" t="s">
        <v>1811</v>
      </c>
      <c r="D105" s="218" t="s">
        <v>1746</v>
      </c>
      <c r="E105" s="218" t="s">
        <v>1644</v>
      </c>
      <c r="F105" s="218" t="s">
        <v>1749</v>
      </c>
      <c r="G105" s="218" t="s">
        <v>1778</v>
      </c>
      <c r="H105" s="218" t="s">
        <v>1718</v>
      </c>
      <c r="I105" s="218" t="s">
        <v>1885</v>
      </c>
      <c r="J105" s="221" t="s">
        <v>3643</v>
      </c>
      <c r="K105" s="222" t="s">
        <v>3644</v>
      </c>
    </row>
    <row r="106" spans="1:11" ht="21.75" customHeight="1" x14ac:dyDescent="0.25">
      <c r="A106" s="69">
        <v>101</v>
      </c>
      <c r="B106" s="99" t="s">
        <v>3315</v>
      </c>
      <c r="C106" s="70" t="s">
        <v>3316</v>
      </c>
      <c r="D106" s="69" t="s">
        <v>1642</v>
      </c>
      <c r="E106" s="69" t="s">
        <v>1644</v>
      </c>
      <c r="F106" s="69" t="s">
        <v>1678</v>
      </c>
      <c r="G106" s="69" t="s">
        <v>1677</v>
      </c>
      <c r="H106" s="69" t="s">
        <v>1643</v>
      </c>
      <c r="I106" s="69" t="s">
        <v>1645</v>
      </c>
      <c r="J106" s="216" t="s">
        <v>3643</v>
      </c>
      <c r="K106" s="217" t="s">
        <v>3644</v>
      </c>
    </row>
    <row r="107" spans="1:11" ht="21.75" customHeight="1" x14ac:dyDescent="0.25">
      <c r="A107" s="218">
        <v>102</v>
      </c>
      <c r="B107" s="219" t="s">
        <v>3336</v>
      </c>
      <c r="C107" s="220" t="s">
        <v>3337</v>
      </c>
      <c r="D107" s="218" t="s">
        <v>1642</v>
      </c>
      <c r="E107" s="218" t="s">
        <v>1644</v>
      </c>
      <c r="F107" s="218" t="s">
        <v>1700</v>
      </c>
      <c r="G107" s="218" t="s">
        <v>1778</v>
      </c>
      <c r="H107" s="218" t="s">
        <v>1718</v>
      </c>
      <c r="I107" s="218" t="s">
        <v>1885</v>
      </c>
      <c r="J107" s="221" t="s">
        <v>3651</v>
      </c>
      <c r="K107" s="222" t="s">
        <v>3652</v>
      </c>
    </row>
    <row r="108" spans="1:11" ht="18.75" customHeight="1" x14ac:dyDescent="0.25">
      <c r="A108" s="69">
        <v>103</v>
      </c>
      <c r="B108" s="99" t="s">
        <v>3357</v>
      </c>
      <c r="C108" s="70" t="s">
        <v>3358</v>
      </c>
      <c r="D108" s="69" t="s">
        <v>1642</v>
      </c>
      <c r="E108" s="69" t="s">
        <v>1644</v>
      </c>
      <c r="F108" s="69" t="s">
        <v>1678</v>
      </c>
      <c r="G108" s="69" t="s">
        <v>1677</v>
      </c>
      <c r="H108" s="69" t="s">
        <v>3377</v>
      </c>
      <c r="I108" s="69" t="s">
        <v>1719</v>
      </c>
      <c r="J108" s="216" t="s">
        <v>3643</v>
      </c>
      <c r="K108" s="217" t="s">
        <v>3644</v>
      </c>
    </row>
    <row r="109" spans="1:11" ht="21.75" customHeight="1" x14ac:dyDescent="0.25">
      <c r="A109" s="218">
        <v>104</v>
      </c>
      <c r="B109" s="219" t="s">
        <v>3380</v>
      </c>
      <c r="C109" s="220" t="s">
        <v>3381</v>
      </c>
      <c r="D109" s="218" t="s">
        <v>1642</v>
      </c>
      <c r="E109" s="218" t="s">
        <v>1644</v>
      </c>
      <c r="F109" s="218" t="s">
        <v>1646</v>
      </c>
      <c r="G109" s="218" t="s">
        <v>1778</v>
      </c>
      <c r="H109" s="218" t="s">
        <v>1718</v>
      </c>
      <c r="I109" s="218" t="s">
        <v>1645</v>
      </c>
      <c r="J109" s="221" t="s">
        <v>3665</v>
      </c>
      <c r="K109" s="222" t="s">
        <v>3666</v>
      </c>
    </row>
    <row r="110" spans="1:11" ht="21.75" customHeight="1" x14ac:dyDescent="0.25">
      <c r="A110" s="69">
        <v>105</v>
      </c>
      <c r="B110" s="99" t="s">
        <v>3400</v>
      </c>
      <c r="C110" s="70" t="s">
        <v>3401</v>
      </c>
      <c r="D110" s="69" t="s">
        <v>1746</v>
      </c>
      <c r="E110" s="69" t="s">
        <v>1644</v>
      </c>
      <c r="F110" s="69" t="s">
        <v>1749</v>
      </c>
      <c r="G110" s="69" t="s">
        <v>1863</v>
      </c>
      <c r="H110" s="69" t="s">
        <v>1718</v>
      </c>
      <c r="I110" s="69" t="s">
        <v>2320</v>
      </c>
      <c r="J110" s="216" t="s">
        <v>3651</v>
      </c>
      <c r="K110" s="217" t="s">
        <v>3652</v>
      </c>
    </row>
    <row r="111" spans="1:11" ht="15" customHeight="1" x14ac:dyDescent="0.25">
      <c r="A111" s="218">
        <v>106</v>
      </c>
      <c r="B111" s="219" t="s">
        <v>3418</v>
      </c>
      <c r="C111" s="220" t="s">
        <v>3419</v>
      </c>
      <c r="D111" s="218" t="s">
        <v>2140</v>
      </c>
      <c r="E111" s="218" t="s">
        <v>2141</v>
      </c>
      <c r="F111" s="218" t="s">
        <v>1777</v>
      </c>
      <c r="G111" s="218" t="s">
        <v>3433</v>
      </c>
      <c r="H111" s="218" t="s">
        <v>1718</v>
      </c>
      <c r="I111" s="218" t="s">
        <v>1719</v>
      </c>
      <c r="J111" s="221" t="s">
        <v>3659</v>
      </c>
      <c r="K111" s="222" t="s">
        <v>3660</v>
      </c>
    </row>
    <row r="112" spans="1:11" ht="15" customHeight="1" x14ac:dyDescent="0.25">
      <c r="A112" s="69">
        <v>107</v>
      </c>
      <c r="B112" s="99" t="s">
        <v>3436</v>
      </c>
      <c r="C112" s="70" t="s">
        <v>3437</v>
      </c>
      <c r="D112" s="69" t="s">
        <v>2140</v>
      </c>
      <c r="E112" s="69" t="s">
        <v>1644</v>
      </c>
      <c r="F112" s="69" t="s">
        <v>1646</v>
      </c>
      <c r="G112" s="69" t="s">
        <v>1677</v>
      </c>
      <c r="H112" s="69" t="s">
        <v>1718</v>
      </c>
      <c r="I112" s="69" t="s">
        <v>1719</v>
      </c>
      <c r="J112" s="216" t="s">
        <v>3659</v>
      </c>
      <c r="K112" s="217" t="s">
        <v>3660</v>
      </c>
    </row>
    <row r="113" spans="1:11" ht="18.75" customHeight="1" x14ac:dyDescent="0.25">
      <c r="A113" s="218">
        <v>108</v>
      </c>
      <c r="B113" s="219" t="s">
        <v>3454</v>
      </c>
      <c r="C113" s="220" t="s">
        <v>3455</v>
      </c>
      <c r="D113" s="218" t="s">
        <v>2140</v>
      </c>
      <c r="E113" s="218" t="s">
        <v>1644</v>
      </c>
      <c r="F113" s="218" t="s">
        <v>1857</v>
      </c>
      <c r="G113" s="218" t="s">
        <v>1677</v>
      </c>
      <c r="H113" s="218" t="s">
        <v>2853</v>
      </c>
      <c r="I113" s="218" t="s">
        <v>1885</v>
      </c>
      <c r="J113" s="221" t="s">
        <v>3679</v>
      </c>
      <c r="K113" s="222" t="s">
        <v>3680</v>
      </c>
    </row>
    <row r="114" spans="1:11" ht="15" customHeight="1" x14ac:dyDescent="0.25">
      <c r="A114" s="69">
        <v>109</v>
      </c>
      <c r="B114" s="99" t="s">
        <v>3472</v>
      </c>
      <c r="C114" s="70" t="s">
        <v>3473</v>
      </c>
      <c r="D114" s="69" t="s">
        <v>2183</v>
      </c>
      <c r="E114" s="69" t="s">
        <v>1856</v>
      </c>
      <c r="F114" s="69" t="s">
        <v>1749</v>
      </c>
      <c r="G114" s="69" t="s">
        <v>1778</v>
      </c>
      <c r="H114" s="69" t="s">
        <v>2925</v>
      </c>
      <c r="I114" s="69" t="s">
        <v>1653</v>
      </c>
      <c r="J114" s="216" t="s">
        <v>3681</v>
      </c>
      <c r="K114" s="217" t="s">
        <v>3682</v>
      </c>
    </row>
    <row r="115" spans="1:11" ht="15" customHeight="1" x14ac:dyDescent="0.25">
      <c r="A115" s="218">
        <v>110</v>
      </c>
      <c r="B115" s="219" t="s">
        <v>3490</v>
      </c>
      <c r="C115" s="220" t="s">
        <v>3491</v>
      </c>
      <c r="D115" s="218" t="s">
        <v>1746</v>
      </c>
      <c r="E115" s="218" t="s">
        <v>1644</v>
      </c>
      <c r="F115" s="218" t="s">
        <v>1777</v>
      </c>
      <c r="G115" s="218" t="s">
        <v>1863</v>
      </c>
      <c r="H115" s="218" t="s">
        <v>1718</v>
      </c>
      <c r="I115" s="218" t="s">
        <v>1885</v>
      </c>
      <c r="J115" s="221" t="s">
        <v>3681</v>
      </c>
      <c r="K115" s="222" t="s">
        <v>3682</v>
      </c>
    </row>
    <row r="116" spans="1:11" ht="15" customHeight="1" x14ac:dyDescent="0.25">
      <c r="A116" s="69">
        <v>111</v>
      </c>
      <c r="B116" s="99" t="s">
        <v>3509</v>
      </c>
      <c r="C116" s="70" t="s">
        <v>3510</v>
      </c>
      <c r="D116" s="69" t="s">
        <v>2140</v>
      </c>
      <c r="E116" s="69" t="s">
        <v>2141</v>
      </c>
      <c r="F116" s="69" t="s">
        <v>1777</v>
      </c>
      <c r="G116" s="69" t="s">
        <v>1863</v>
      </c>
      <c r="H116" s="69" t="s">
        <v>1718</v>
      </c>
      <c r="I116" s="69" t="s">
        <v>1645</v>
      </c>
      <c r="J116" s="216" t="s">
        <v>3653</v>
      </c>
      <c r="K116" s="217" t="s">
        <v>3654</v>
      </c>
    </row>
    <row r="117" spans="1:11" ht="18.75" customHeight="1" x14ac:dyDescent="0.25">
      <c r="A117" s="218">
        <v>112</v>
      </c>
      <c r="B117" s="219" t="s">
        <v>3525</v>
      </c>
      <c r="C117" s="220" t="s">
        <v>3526</v>
      </c>
      <c r="D117" s="218" t="s">
        <v>1746</v>
      </c>
      <c r="E117" s="218" t="s">
        <v>1644</v>
      </c>
      <c r="F117" s="218" t="s">
        <v>1981</v>
      </c>
      <c r="G117" s="218" t="s">
        <v>1778</v>
      </c>
      <c r="H117" s="218" t="s">
        <v>1718</v>
      </c>
      <c r="I117" s="218" t="s">
        <v>1699</v>
      </c>
      <c r="J117" s="221" t="s">
        <v>3669</v>
      </c>
      <c r="K117" s="222" t="s">
        <v>3670</v>
      </c>
    </row>
    <row r="118" spans="1:11" ht="15" customHeight="1" x14ac:dyDescent="0.25">
      <c r="A118" s="69">
        <v>113</v>
      </c>
      <c r="B118" s="99" t="s">
        <v>3548</v>
      </c>
      <c r="C118" s="70" t="s">
        <v>3549</v>
      </c>
      <c r="D118" s="69" t="s">
        <v>2183</v>
      </c>
      <c r="E118" s="69" t="s">
        <v>1856</v>
      </c>
      <c r="F118" s="69" t="s">
        <v>1678</v>
      </c>
      <c r="G118" s="69" t="s">
        <v>2143</v>
      </c>
      <c r="H118" s="69" t="s">
        <v>1718</v>
      </c>
      <c r="I118" s="69" t="s">
        <v>1699</v>
      </c>
      <c r="J118" s="216" t="s">
        <v>3663</v>
      </c>
      <c r="K118" s="217" t="s">
        <v>3664</v>
      </c>
    </row>
    <row r="119" spans="1:11" ht="18.75" customHeight="1" x14ac:dyDescent="0.25">
      <c r="A119" s="218">
        <v>114</v>
      </c>
      <c r="B119" s="219" t="s">
        <v>2547</v>
      </c>
      <c r="C119" s="220" t="s">
        <v>949</v>
      </c>
      <c r="D119" s="218" t="s">
        <v>1746</v>
      </c>
      <c r="E119" s="218" t="s">
        <v>1644</v>
      </c>
      <c r="F119" s="218" t="s">
        <v>1777</v>
      </c>
      <c r="G119" s="218" t="s">
        <v>1863</v>
      </c>
      <c r="H119" s="218" t="s">
        <v>1718</v>
      </c>
      <c r="I119" s="218" t="s">
        <v>1699</v>
      </c>
      <c r="J119" s="221" t="s">
        <v>3643</v>
      </c>
      <c r="K119" s="222" t="s">
        <v>3644</v>
      </c>
    </row>
    <row r="120" spans="1:11" ht="18.75" customHeight="1" x14ac:dyDescent="0.25">
      <c r="A120" s="69">
        <v>115</v>
      </c>
      <c r="B120" s="99" t="s">
        <v>2528</v>
      </c>
      <c r="C120" s="70" t="s">
        <v>3576</v>
      </c>
      <c r="D120" s="69" t="s">
        <v>1746</v>
      </c>
      <c r="E120" s="69" t="s">
        <v>1644</v>
      </c>
      <c r="F120" s="69" t="s">
        <v>1777</v>
      </c>
      <c r="G120" s="69" t="s">
        <v>1677</v>
      </c>
      <c r="H120" s="69" t="s">
        <v>1718</v>
      </c>
      <c r="I120" s="69" t="s">
        <v>1885</v>
      </c>
      <c r="J120" s="216" t="s">
        <v>3643</v>
      </c>
      <c r="K120" s="217" t="s">
        <v>3644</v>
      </c>
    </row>
    <row r="121" spans="1:11" ht="18.75" customHeight="1" x14ac:dyDescent="0.25">
      <c r="A121" s="218">
        <v>116</v>
      </c>
      <c r="B121" s="219" t="s">
        <v>3592</v>
      </c>
      <c r="C121" s="220" t="s">
        <v>3593</v>
      </c>
      <c r="D121" s="218" t="s">
        <v>1746</v>
      </c>
      <c r="E121" s="218" t="s">
        <v>1644</v>
      </c>
      <c r="F121" s="218" t="s">
        <v>1981</v>
      </c>
      <c r="G121" s="218" t="s">
        <v>1863</v>
      </c>
      <c r="H121" s="218" t="s">
        <v>1718</v>
      </c>
      <c r="I121" s="218" t="s">
        <v>1677</v>
      </c>
      <c r="J121" s="221" t="s">
        <v>3669</v>
      </c>
      <c r="K121" s="222" t="s">
        <v>3670</v>
      </c>
    </row>
    <row r="124" spans="1:11" ht="15" customHeight="1" x14ac:dyDescent="0.25">
      <c r="A124" s="381" t="s">
        <v>3685</v>
      </c>
      <c r="B124" s="381"/>
      <c r="C124" s="381"/>
      <c r="D124" s="381"/>
      <c r="E124" s="381"/>
      <c r="F124" s="381"/>
      <c r="G124" s="381"/>
      <c r="H124" s="381"/>
      <c r="I124" s="381"/>
      <c r="J124" s="381"/>
      <c r="K124" s="381"/>
    </row>
    <row r="125" spans="1:11" ht="30" customHeight="1" x14ac:dyDescent="0.25">
      <c r="A125" s="382" t="s">
        <v>3686</v>
      </c>
      <c r="B125" s="382"/>
      <c r="C125" s="383" t="s">
        <v>3687</v>
      </c>
      <c r="D125" s="383"/>
      <c r="E125" s="383"/>
      <c r="F125" s="383"/>
      <c r="G125" s="383"/>
      <c r="H125" s="383"/>
      <c r="I125" s="383"/>
      <c r="J125" s="383"/>
      <c r="K125" s="383"/>
    </row>
    <row r="126" spans="1:11" ht="30" customHeight="1" x14ac:dyDescent="0.25">
      <c r="A126" s="382" t="s">
        <v>3688</v>
      </c>
      <c r="B126" s="382"/>
      <c r="C126" s="383" t="s">
        <v>3689</v>
      </c>
      <c r="D126" s="383"/>
      <c r="E126" s="383"/>
      <c r="F126" s="383"/>
      <c r="G126" s="383"/>
      <c r="H126" s="383"/>
      <c r="I126" s="383"/>
      <c r="J126" s="383"/>
      <c r="K126" s="383"/>
    </row>
    <row r="127" spans="1:11" ht="30" customHeight="1" x14ac:dyDescent="0.25">
      <c r="A127" s="382" t="s">
        <v>3690</v>
      </c>
      <c r="B127" s="382"/>
      <c r="C127" s="383" t="s">
        <v>3691</v>
      </c>
      <c r="D127" s="383"/>
      <c r="E127" s="383"/>
      <c r="F127" s="383"/>
      <c r="G127" s="383"/>
      <c r="H127" s="383"/>
      <c r="I127" s="383"/>
      <c r="J127" s="383"/>
      <c r="K127" s="383"/>
    </row>
    <row r="128" spans="1:11" ht="30" customHeight="1" x14ac:dyDescent="0.25">
      <c r="A128" s="382" t="s">
        <v>3692</v>
      </c>
      <c r="B128" s="382"/>
      <c r="C128" s="383" t="s">
        <v>3693</v>
      </c>
      <c r="D128" s="383"/>
      <c r="E128" s="383"/>
      <c r="F128" s="383"/>
      <c r="G128" s="383"/>
      <c r="H128" s="383"/>
      <c r="I128" s="383"/>
      <c r="J128" s="383"/>
      <c r="K128" s="383"/>
    </row>
    <row r="129" spans="1:11" ht="30" customHeight="1" x14ac:dyDescent="0.25">
      <c r="A129" s="382" t="s">
        <v>3694</v>
      </c>
      <c r="B129" s="382"/>
      <c r="C129" s="383" t="s">
        <v>3695</v>
      </c>
      <c r="D129" s="383"/>
      <c r="E129" s="383"/>
      <c r="F129" s="383"/>
      <c r="G129" s="383"/>
      <c r="H129" s="383"/>
      <c r="I129" s="383"/>
      <c r="J129" s="383"/>
      <c r="K129" s="383"/>
    </row>
    <row r="130" spans="1:11" ht="30" customHeight="1" x14ac:dyDescent="0.25">
      <c r="A130" s="382" t="s">
        <v>3696</v>
      </c>
      <c r="B130" s="382"/>
      <c r="C130" s="383" t="s">
        <v>3697</v>
      </c>
      <c r="D130" s="383"/>
      <c r="E130" s="383"/>
      <c r="F130" s="383"/>
      <c r="G130" s="383"/>
      <c r="H130" s="383"/>
      <c r="I130" s="383"/>
      <c r="J130" s="383"/>
      <c r="K130" s="383"/>
    </row>
    <row r="131" spans="1:11" ht="30" customHeight="1" x14ac:dyDescent="0.25">
      <c r="A131" s="382" t="s">
        <v>3698</v>
      </c>
      <c r="B131" s="382"/>
      <c r="C131" s="383" t="s">
        <v>3699</v>
      </c>
      <c r="D131" s="383"/>
      <c r="E131" s="383"/>
      <c r="F131" s="383"/>
      <c r="G131" s="383"/>
      <c r="H131" s="383"/>
      <c r="I131" s="383"/>
      <c r="J131" s="383"/>
      <c r="K131" s="383"/>
    </row>
    <row r="132" spans="1:11" ht="30" customHeight="1" x14ac:dyDescent="0.25">
      <c r="A132" s="382" t="s">
        <v>3700</v>
      </c>
      <c r="B132" s="382"/>
      <c r="C132" s="383" t="s">
        <v>3701</v>
      </c>
      <c r="D132" s="383"/>
      <c r="E132" s="383"/>
      <c r="F132" s="383"/>
      <c r="G132" s="383"/>
      <c r="H132" s="383"/>
      <c r="I132" s="383"/>
      <c r="J132" s="383"/>
      <c r="K132" s="383"/>
    </row>
    <row r="133" spans="1:11" ht="30" customHeight="1" x14ac:dyDescent="0.25">
      <c r="A133" s="382" t="s">
        <v>3702</v>
      </c>
      <c r="B133" s="382"/>
      <c r="C133" s="383" t="s">
        <v>3703</v>
      </c>
      <c r="D133" s="383"/>
      <c r="E133" s="383"/>
      <c r="F133" s="383"/>
      <c r="G133" s="383"/>
      <c r="H133" s="383"/>
      <c r="I133" s="383"/>
      <c r="J133" s="383"/>
      <c r="K133" s="383"/>
    </row>
    <row r="134" spans="1:11" ht="30" customHeight="1" x14ac:dyDescent="0.25">
      <c r="A134" s="382" t="s">
        <v>3704</v>
      </c>
      <c r="B134" s="382"/>
      <c r="C134" s="383" t="s">
        <v>3705</v>
      </c>
      <c r="D134" s="383"/>
      <c r="E134" s="383"/>
      <c r="F134" s="383"/>
      <c r="G134" s="383"/>
      <c r="H134" s="383"/>
      <c r="I134" s="383"/>
      <c r="J134" s="383"/>
      <c r="K134" s="383"/>
    </row>
    <row r="135" spans="1:11" ht="30" customHeight="1" x14ac:dyDescent="0.25">
      <c r="A135" s="382" t="s">
        <v>646</v>
      </c>
      <c r="B135" s="382"/>
      <c r="C135" s="383" t="s">
        <v>3706</v>
      </c>
      <c r="D135" s="383"/>
      <c r="E135" s="383"/>
      <c r="F135" s="383"/>
      <c r="G135" s="383"/>
      <c r="H135" s="383"/>
      <c r="I135" s="383"/>
      <c r="J135" s="383"/>
      <c r="K135" s="383"/>
    </row>
  </sheetData>
  <sheetProtection password="EBB1" sheet="1" formatColumns="0" formatRows="0" sort="0" autoFilter="0"/>
  <mergeCells count="30">
    <mergeCell ref="A133:B133"/>
    <mergeCell ref="C133:K133"/>
    <mergeCell ref="A134:B134"/>
    <mergeCell ref="C134:K134"/>
    <mergeCell ref="A135:B135"/>
    <mergeCell ref="C135:K135"/>
    <mergeCell ref="A130:B130"/>
    <mergeCell ref="C130:K130"/>
    <mergeCell ref="A131:B131"/>
    <mergeCell ref="C131:K131"/>
    <mergeCell ref="A132:B132"/>
    <mergeCell ref="C132:K132"/>
    <mergeCell ref="A127:B127"/>
    <mergeCell ref="C127:K127"/>
    <mergeCell ref="A128:B128"/>
    <mergeCell ref="C128:K128"/>
    <mergeCell ref="A129:B129"/>
    <mergeCell ref="C129:K129"/>
    <mergeCell ref="A124:K124"/>
    <mergeCell ref="A125:B125"/>
    <mergeCell ref="C125:K125"/>
    <mergeCell ref="A126:B126"/>
    <mergeCell ref="C126:K126"/>
    <mergeCell ref="A1:J1"/>
    <mergeCell ref="A2:J2"/>
    <mergeCell ref="A4:A5"/>
    <mergeCell ref="B4:B5"/>
    <mergeCell ref="C4:C5"/>
    <mergeCell ref="D4:I4"/>
    <mergeCell ref="J4:K4"/>
  </mergeCells>
  <pageMargins left="0.75" right="0.75" top="1" bottom="1"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261"/>
  <sheetViews>
    <sheetView zoomScaleNormal="100" workbookViewId="0">
      <pane xSplit="3" ySplit="2" topLeftCell="D3" activePane="bottomRight" state="frozen"/>
      <selection pane="topRight" activeCell="D1" sqref="D1"/>
      <selection pane="bottomLeft" activeCell="A3" sqref="A3"/>
      <selection pane="bottomRight"/>
    </sheetView>
  </sheetViews>
  <sheetFormatPr defaultColWidth="8.7109375" defaultRowHeight="15" x14ac:dyDescent="0.25"/>
  <cols>
    <col min="2" max="2" width="9" style="15" customWidth="1"/>
    <col min="3" max="3" width="10" style="15" customWidth="1"/>
    <col min="4" max="4" width="40" style="15" customWidth="1"/>
    <col min="5" max="6" width="8" style="15" customWidth="1"/>
    <col min="7" max="7" width="10" style="15" customWidth="1"/>
    <col min="8" max="8" width="18" style="15" customWidth="1"/>
    <col min="9" max="9" width="32" style="15" customWidth="1"/>
    <col min="10" max="10" width="30" style="15" customWidth="1"/>
    <col min="11" max="11" width="26" style="15" customWidth="1"/>
    <col min="12" max="12" width="24" style="15" customWidth="1"/>
    <col min="13" max="13" width="30" style="15" customWidth="1"/>
    <col min="14" max="14" width="26" style="15" customWidth="1"/>
    <col min="15" max="16" width="24" style="15" customWidth="1"/>
    <col min="17" max="17" width="34" style="15" customWidth="1"/>
    <col min="18" max="22" width="11" style="15" customWidth="1"/>
  </cols>
  <sheetData>
    <row r="1" spans="2:22" ht="19.5" customHeight="1" x14ac:dyDescent="0.25">
      <c r="B1" s="372" t="s">
        <v>3707</v>
      </c>
      <c r="C1" s="372"/>
      <c r="D1" s="372"/>
      <c r="E1" s="372"/>
      <c r="F1" s="372"/>
      <c r="G1" s="372"/>
      <c r="H1" s="372"/>
      <c r="I1" s="372"/>
      <c r="J1" s="372"/>
      <c r="K1" s="372"/>
      <c r="L1" s="372"/>
      <c r="M1" s="372"/>
      <c r="N1" s="372"/>
      <c r="O1" s="372"/>
      <c r="P1" s="372"/>
    </row>
    <row r="2" spans="2:22" ht="37.5" customHeight="1" x14ac:dyDescent="0.25">
      <c r="B2" s="16" t="s">
        <v>3708</v>
      </c>
      <c r="C2" s="16" t="s">
        <v>3709</v>
      </c>
      <c r="D2" s="16" t="s">
        <v>3710</v>
      </c>
      <c r="E2" s="16" t="s">
        <v>3711</v>
      </c>
      <c r="F2" s="16" t="s">
        <v>3712</v>
      </c>
      <c r="G2" s="16" t="s">
        <v>3713</v>
      </c>
      <c r="H2" s="16" t="s">
        <v>3714</v>
      </c>
      <c r="I2" s="16" t="s">
        <v>3715</v>
      </c>
      <c r="J2" s="16" t="s">
        <v>3716</v>
      </c>
      <c r="K2" s="214" t="s">
        <v>3717</v>
      </c>
      <c r="L2" s="214" t="s">
        <v>3718</v>
      </c>
      <c r="M2" s="67" t="s">
        <v>3719</v>
      </c>
      <c r="N2" s="215" t="s">
        <v>3720</v>
      </c>
      <c r="O2" s="68" t="s">
        <v>3721</v>
      </c>
      <c r="P2" s="223" t="s">
        <v>3722</v>
      </c>
      <c r="Q2" s="224" t="s">
        <v>3723</v>
      </c>
      <c r="R2" s="225" t="s">
        <v>3724</v>
      </c>
      <c r="S2" s="225" t="s">
        <v>3725</v>
      </c>
      <c r="T2" s="225" t="s">
        <v>3726</v>
      </c>
      <c r="U2" s="225" t="s">
        <v>3727</v>
      </c>
      <c r="V2" s="225" t="s">
        <v>3728</v>
      </c>
    </row>
    <row r="3" spans="2:22" ht="18" customHeight="1" x14ac:dyDescent="0.25">
      <c r="B3" s="374" t="s">
        <v>3729</v>
      </c>
      <c r="C3" s="374"/>
      <c r="D3" s="374"/>
      <c r="E3" s="374"/>
      <c r="F3" s="374"/>
      <c r="G3" s="374"/>
      <c r="H3" s="374"/>
      <c r="I3" s="374"/>
      <c r="J3" s="374"/>
      <c r="K3" s="374"/>
      <c r="L3" s="374"/>
      <c r="M3" s="374"/>
      <c r="N3" s="374"/>
      <c r="O3" s="374"/>
      <c r="P3" s="374"/>
      <c r="Q3" s="374"/>
    </row>
    <row r="4" spans="2:22" ht="42" customHeight="1" x14ac:dyDescent="0.25">
      <c r="B4" s="80" t="s">
        <v>3730</v>
      </c>
      <c r="C4" s="204" t="s">
        <v>2029</v>
      </c>
      <c r="D4" s="166" t="s">
        <v>3731</v>
      </c>
      <c r="E4" s="80">
        <v>0</v>
      </c>
      <c r="F4" s="80">
        <v>0</v>
      </c>
      <c r="G4" s="80" t="s">
        <v>3732</v>
      </c>
      <c r="H4" s="166" t="s">
        <v>2348</v>
      </c>
      <c r="I4" s="166" t="s">
        <v>3733</v>
      </c>
      <c r="J4" s="166" t="s">
        <v>3734</v>
      </c>
      <c r="K4" s="166" t="s">
        <v>3735</v>
      </c>
      <c r="L4" s="166" t="s">
        <v>3736</v>
      </c>
      <c r="M4" s="166" t="s">
        <v>3737</v>
      </c>
      <c r="N4" s="166" t="s">
        <v>3738</v>
      </c>
      <c r="O4" s="166" t="s">
        <v>3739</v>
      </c>
      <c r="P4" s="166" t="s">
        <v>3740</v>
      </c>
      <c r="Q4" s="226" t="s">
        <v>3741</v>
      </c>
      <c r="R4" s="227" t="s">
        <v>3742</v>
      </c>
      <c r="S4" s="227">
        <v>10.5</v>
      </c>
      <c r="T4" s="227">
        <v>156</v>
      </c>
      <c r="U4" s="227">
        <v>132.6</v>
      </c>
      <c r="V4" s="227">
        <v>8.9</v>
      </c>
    </row>
    <row r="5" spans="2:22" ht="42" customHeight="1" x14ac:dyDescent="0.25">
      <c r="B5" s="72" t="s">
        <v>3730</v>
      </c>
      <c r="C5" s="201" t="s">
        <v>3743</v>
      </c>
      <c r="D5" s="165" t="s">
        <v>3744</v>
      </c>
      <c r="E5" s="72">
        <v>0</v>
      </c>
      <c r="F5" s="72">
        <v>0</v>
      </c>
      <c r="G5" s="72" t="s">
        <v>3732</v>
      </c>
      <c r="H5" s="165" t="s">
        <v>2348</v>
      </c>
      <c r="I5" s="165" t="s">
        <v>3745</v>
      </c>
      <c r="J5" s="165" t="s">
        <v>3746</v>
      </c>
      <c r="K5" s="165" t="s">
        <v>3735</v>
      </c>
      <c r="L5" s="165" t="s">
        <v>3747</v>
      </c>
      <c r="M5" s="165" t="s">
        <v>3737</v>
      </c>
      <c r="N5" s="165" t="s">
        <v>3738</v>
      </c>
      <c r="O5" s="165" t="s">
        <v>3739</v>
      </c>
      <c r="P5" s="165" t="s">
        <v>3740</v>
      </c>
      <c r="Q5" s="226" t="s">
        <v>3741</v>
      </c>
      <c r="R5" s="227" t="s">
        <v>3742</v>
      </c>
      <c r="S5" s="227">
        <v>11</v>
      </c>
      <c r="T5" s="227">
        <v>161</v>
      </c>
      <c r="U5" s="227">
        <v>136.80000000000001</v>
      </c>
      <c r="V5" s="227">
        <v>9.3000000000000007</v>
      </c>
    </row>
    <row r="6" spans="2:22" ht="42" customHeight="1" x14ac:dyDescent="0.25">
      <c r="B6" s="80" t="s">
        <v>3730</v>
      </c>
      <c r="C6" s="204" t="s">
        <v>3748</v>
      </c>
      <c r="D6" s="166" t="s">
        <v>3749</v>
      </c>
      <c r="E6" s="80">
        <v>0</v>
      </c>
      <c r="F6" s="80">
        <v>0</v>
      </c>
      <c r="G6" s="80" t="s">
        <v>3732</v>
      </c>
      <c r="H6" s="166" t="s">
        <v>2348</v>
      </c>
      <c r="I6" s="166" t="s">
        <v>3750</v>
      </c>
      <c r="J6" s="166" t="s">
        <v>3751</v>
      </c>
      <c r="K6" s="166" t="s">
        <v>3752</v>
      </c>
      <c r="L6" s="166" t="s">
        <v>3747</v>
      </c>
      <c r="M6" s="166" t="s">
        <v>3753</v>
      </c>
      <c r="N6" s="166" t="s">
        <v>3754</v>
      </c>
      <c r="O6" s="166" t="s">
        <v>3739</v>
      </c>
      <c r="P6" s="166" t="s">
        <v>3740</v>
      </c>
      <c r="Q6" s="166" t="s">
        <v>3755</v>
      </c>
      <c r="R6" s="227" t="s">
        <v>3742</v>
      </c>
      <c r="S6" s="227">
        <v>15</v>
      </c>
      <c r="T6" s="227">
        <v>140</v>
      </c>
      <c r="U6" s="227">
        <v>119</v>
      </c>
      <c r="V6" s="227">
        <v>12.8</v>
      </c>
    </row>
    <row r="7" spans="2:22" ht="42" customHeight="1" x14ac:dyDescent="0.25">
      <c r="B7" s="72" t="s">
        <v>3730</v>
      </c>
      <c r="C7" s="201" t="s">
        <v>3756</v>
      </c>
      <c r="D7" s="165" t="s">
        <v>3757</v>
      </c>
      <c r="E7" s="72">
        <v>0</v>
      </c>
      <c r="F7" s="72">
        <v>0</v>
      </c>
      <c r="G7" s="72" t="s">
        <v>3732</v>
      </c>
      <c r="H7" s="165" t="s">
        <v>2348</v>
      </c>
      <c r="I7" s="165" t="s">
        <v>3758</v>
      </c>
      <c r="J7" s="165" t="s">
        <v>3759</v>
      </c>
      <c r="K7" s="165" t="s">
        <v>3752</v>
      </c>
      <c r="L7" s="165" t="s">
        <v>3747</v>
      </c>
      <c r="M7" s="165" t="s">
        <v>3753</v>
      </c>
      <c r="N7" s="165" t="s">
        <v>3754</v>
      </c>
      <c r="O7" s="165" t="s">
        <v>3739</v>
      </c>
      <c r="P7" s="165" t="s">
        <v>3740</v>
      </c>
      <c r="Q7" s="165" t="s">
        <v>3755</v>
      </c>
      <c r="R7" s="227" t="s">
        <v>3742</v>
      </c>
      <c r="S7" s="227">
        <v>16</v>
      </c>
      <c r="T7" s="227">
        <v>133.80000000000001</v>
      </c>
      <c r="U7" s="227">
        <v>113.7</v>
      </c>
      <c r="V7" s="227">
        <v>13.6</v>
      </c>
    </row>
    <row r="8" spans="2:22" ht="42" customHeight="1" x14ac:dyDescent="0.25">
      <c r="B8" s="80" t="s">
        <v>3730</v>
      </c>
      <c r="C8" s="204" t="s">
        <v>1720</v>
      </c>
      <c r="D8" s="166" t="s">
        <v>3760</v>
      </c>
      <c r="E8" s="80">
        <v>0</v>
      </c>
      <c r="F8" s="80">
        <v>0</v>
      </c>
      <c r="G8" s="80" t="s">
        <v>3732</v>
      </c>
      <c r="H8" s="166" t="s">
        <v>2348</v>
      </c>
      <c r="I8" s="166" t="s">
        <v>3761</v>
      </c>
      <c r="J8" s="166" t="s">
        <v>3762</v>
      </c>
      <c r="K8" s="166" t="s">
        <v>3752</v>
      </c>
      <c r="L8" s="166" t="s">
        <v>3763</v>
      </c>
      <c r="M8" s="166" t="s">
        <v>3753</v>
      </c>
      <c r="N8" s="166" t="s">
        <v>3754</v>
      </c>
      <c r="O8" s="166" t="s">
        <v>3764</v>
      </c>
      <c r="P8" s="166" t="s">
        <v>3740</v>
      </c>
      <c r="Q8" s="166" t="s">
        <v>3755</v>
      </c>
      <c r="R8" s="227" t="s">
        <v>3742</v>
      </c>
      <c r="S8" s="227">
        <v>17</v>
      </c>
      <c r="T8" s="227">
        <v>127.5</v>
      </c>
      <c r="U8" s="227">
        <v>108.4</v>
      </c>
      <c r="V8" s="227">
        <v>14.4</v>
      </c>
    </row>
    <row r="9" spans="2:22" ht="42" customHeight="1" x14ac:dyDescent="0.25">
      <c r="B9" s="72" t="s">
        <v>3730</v>
      </c>
      <c r="C9" s="201" t="s">
        <v>3765</v>
      </c>
      <c r="D9" s="165" t="s">
        <v>3766</v>
      </c>
      <c r="E9" s="72">
        <v>0</v>
      </c>
      <c r="F9" s="72">
        <v>0</v>
      </c>
      <c r="G9" s="72" t="s">
        <v>3732</v>
      </c>
      <c r="H9" s="165" t="s">
        <v>2348</v>
      </c>
      <c r="I9" s="165" t="s">
        <v>3767</v>
      </c>
      <c r="J9" s="165" t="s">
        <v>3768</v>
      </c>
      <c r="K9" s="165" t="s">
        <v>3752</v>
      </c>
      <c r="L9" s="165" t="s">
        <v>3747</v>
      </c>
      <c r="M9" s="165" t="s">
        <v>3753</v>
      </c>
      <c r="N9" s="165" t="s">
        <v>3754</v>
      </c>
      <c r="O9" s="165" t="s">
        <v>3739</v>
      </c>
      <c r="P9" s="165" t="s">
        <v>3740</v>
      </c>
      <c r="Q9" s="165" t="s">
        <v>3755</v>
      </c>
      <c r="R9" s="227" t="s">
        <v>3742</v>
      </c>
      <c r="S9" s="227">
        <v>19</v>
      </c>
      <c r="T9" s="227">
        <v>115.2</v>
      </c>
      <c r="U9" s="227">
        <v>97.9</v>
      </c>
      <c r="V9" s="227">
        <v>16.100000000000001</v>
      </c>
    </row>
    <row r="10" spans="2:22" ht="42" customHeight="1" x14ac:dyDescent="0.25">
      <c r="B10" s="80" t="s">
        <v>3730</v>
      </c>
      <c r="C10" s="204" t="s">
        <v>2030</v>
      </c>
      <c r="D10" s="166" t="s">
        <v>3769</v>
      </c>
      <c r="E10" s="80">
        <v>0</v>
      </c>
      <c r="F10" s="80">
        <v>0</v>
      </c>
      <c r="G10" s="80" t="s">
        <v>3732</v>
      </c>
      <c r="H10" s="166" t="s">
        <v>2348</v>
      </c>
      <c r="I10" s="166" t="s">
        <v>3770</v>
      </c>
      <c r="J10" s="166" t="s">
        <v>3771</v>
      </c>
      <c r="K10" s="166" t="s">
        <v>3735</v>
      </c>
      <c r="L10" s="166" t="s">
        <v>3763</v>
      </c>
      <c r="M10" s="166" t="s">
        <v>3772</v>
      </c>
      <c r="N10" s="166" t="s">
        <v>3754</v>
      </c>
      <c r="O10" s="166" t="s">
        <v>3773</v>
      </c>
      <c r="P10" s="166" t="s">
        <v>3740</v>
      </c>
      <c r="Q10" s="166" t="s">
        <v>3755</v>
      </c>
      <c r="R10" s="227" t="s">
        <v>3742</v>
      </c>
      <c r="S10" s="227">
        <v>21</v>
      </c>
      <c r="T10" s="227">
        <v>103</v>
      </c>
      <c r="U10" s="227">
        <v>87.5</v>
      </c>
      <c r="V10" s="227">
        <v>17.8</v>
      </c>
    </row>
    <row r="11" spans="2:22" ht="42" customHeight="1" x14ac:dyDescent="0.25">
      <c r="B11" s="72" t="s">
        <v>3730</v>
      </c>
      <c r="C11" s="201" t="s">
        <v>3774</v>
      </c>
      <c r="D11" s="165" t="s">
        <v>3775</v>
      </c>
      <c r="E11" s="72">
        <v>0</v>
      </c>
      <c r="F11" s="72">
        <v>0</v>
      </c>
      <c r="G11" s="72" t="s">
        <v>3732</v>
      </c>
      <c r="H11" s="165" t="s">
        <v>2348</v>
      </c>
      <c r="I11" s="165" t="s">
        <v>3776</v>
      </c>
      <c r="J11" s="165" t="s">
        <v>3777</v>
      </c>
      <c r="K11" s="165" t="s">
        <v>3778</v>
      </c>
      <c r="L11" s="165" t="s">
        <v>3779</v>
      </c>
      <c r="M11" s="165" t="s">
        <v>3780</v>
      </c>
      <c r="N11" s="165" t="s">
        <v>3738</v>
      </c>
      <c r="O11" s="165" t="s">
        <v>3773</v>
      </c>
      <c r="P11" s="165" t="s">
        <v>3740</v>
      </c>
      <c r="Q11" s="226" t="s">
        <v>3781</v>
      </c>
      <c r="R11" s="227" t="s">
        <v>3742</v>
      </c>
      <c r="S11" s="227">
        <v>21.5</v>
      </c>
      <c r="T11" s="227">
        <v>101</v>
      </c>
      <c r="U11" s="227">
        <v>85.8</v>
      </c>
      <c r="V11" s="227">
        <v>18.3</v>
      </c>
    </row>
    <row r="12" spans="2:22" ht="42" customHeight="1" x14ac:dyDescent="0.25">
      <c r="B12" s="80" t="s">
        <v>3730</v>
      </c>
      <c r="C12" s="204" t="s">
        <v>3782</v>
      </c>
      <c r="D12" s="166" t="s">
        <v>3783</v>
      </c>
      <c r="E12" s="80">
        <v>0</v>
      </c>
      <c r="F12" s="80">
        <v>0</v>
      </c>
      <c r="G12" s="80" t="s">
        <v>3732</v>
      </c>
      <c r="H12" s="166" t="s">
        <v>2348</v>
      </c>
      <c r="I12" s="166" t="s">
        <v>3784</v>
      </c>
      <c r="J12" s="166" t="s">
        <v>3785</v>
      </c>
      <c r="K12" s="166" t="s">
        <v>3778</v>
      </c>
      <c r="L12" s="166" t="s">
        <v>3763</v>
      </c>
      <c r="M12" s="166" t="s">
        <v>3780</v>
      </c>
      <c r="N12" s="166" t="s">
        <v>3754</v>
      </c>
      <c r="O12" s="166" t="s">
        <v>3773</v>
      </c>
      <c r="P12" s="166" t="s">
        <v>3740</v>
      </c>
      <c r="Q12" s="226" t="s">
        <v>3781</v>
      </c>
      <c r="R12" s="227" t="s">
        <v>3742</v>
      </c>
      <c r="S12" s="227">
        <v>22</v>
      </c>
      <c r="T12" s="227">
        <v>99</v>
      </c>
      <c r="U12" s="227">
        <v>84.1</v>
      </c>
      <c r="V12" s="227">
        <v>18.7</v>
      </c>
    </row>
    <row r="13" spans="2:22" ht="42" customHeight="1" x14ac:dyDescent="0.25">
      <c r="B13" s="72" t="s">
        <v>3730</v>
      </c>
      <c r="C13" s="201" t="s">
        <v>3786</v>
      </c>
      <c r="D13" s="165" t="s">
        <v>3787</v>
      </c>
      <c r="E13" s="72">
        <v>0</v>
      </c>
      <c r="F13" s="72">
        <v>0</v>
      </c>
      <c r="G13" s="72" t="s">
        <v>3732</v>
      </c>
      <c r="H13" s="165" t="s">
        <v>2348</v>
      </c>
      <c r="I13" s="165" t="s">
        <v>3788</v>
      </c>
      <c r="J13" s="165" t="s">
        <v>3789</v>
      </c>
      <c r="K13" s="165" t="s">
        <v>3752</v>
      </c>
      <c r="L13" s="165" t="s">
        <v>3747</v>
      </c>
      <c r="M13" s="165" t="s">
        <v>3780</v>
      </c>
      <c r="N13" s="165" t="s">
        <v>3790</v>
      </c>
      <c r="O13" s="165" t="s">
        <v>3764</v>
      </c>
      <c r="P13" s="165" t="s">
        <v>3740</v>
      </c>
      <c r="Q13" s="165" t="s">
        <v>3755</v>
      </c>
      <c r="R13" s="227" t="s">
        <v>3742</v>
      </c>
      <c r="S13" s="227">
        <v>23</v>
      </c>
      <c r="T13" s="227">
        <v>93.8</v>
      </c>
      <c r="U13" s="227">
        <v>79.7</v>
      </c>
      <c r="V13" s="227">
        <v>19.600000000000001</v>
      </c>
    </row>
    <row r="14" spans="2:22" ht="42" customHeight="1" x14ac:dyDescent="0.25">
      <c r="B14" s="80" t="s">
        <v>3730</v>
      </c>
      <c r="C14" s="204" t="s">
        <v>3791</v>
      </c>
      <c r="D14" s="166" t="s">
        <v>3792</v>
      </c>
      <c r="E14" s="80">
        <v>0</v>
      </c>
      <c r="F14" s="80">
        <v>0</v>
      </c>
      <c r="G14" s="80" t="s">
        <v>3732</v>
      </c>
      <c r="H14" s="166" t="s">
        <v>2348</v>
      </c>
      <c r="I14" s="166" t="s">
        <v>3793</v>
      </c>
      <c r="J14" s="166" t="s">
        <v>3794</v>
      </c>
      <c r="K14" s="166" t="s">
        <v>3778</v>
      </c>
      <c r="L14" s="166" t="s">
        <v>3779</v>
      </c>
      <c r="M14" s="166" t="s">
        <v>3795</v>
      </c>
      <c r="N14" s="166" t="s">
        <v>3790</v>
      </c>
      <c r="O14" s="166" t="s">
        <v>3773</v>
      </c>
      <c r="P14" s="166" t="s">
        <v>3740</v>
      </c>
      <c r="Q14" s="166" t="s">
        <v>3755</v>
      </c>
      <c r="R14" s="227" t="s">
        <v>3742</v>
      </c>
      <c r="S14" s="227">
        <v>24</v>
      </c>
      <c r="T14" s="227">
        <v>88.5</v>
      </c>
      <c r="U14" s="227">
        <v>75.2</v>
      </c>
      <c r="V14" s="227">
        <v>20.399999999999999</v>
      </c>
    </row>
    <row r="15" spans="2:22" ht="18" customHeight="1" x14ac:dyDescent="0.25">
      <c r="B15" s="374" t="s">
        <v>3796</v>
      </c>
      <c r="C15" s="374"/>
      <c r="D15" s="374"/>
      <c r="E15" s="374"/>
      <c r="F15" s="374"/>
      <c r="G15" s="374"/>
      <c r="H15" s="374"/>
      <c r="I15" s="374"/>
      <c r="J15" s="374"/>
      <c r="K15" s="374"/>
      <c r="L15" s="374"/>
      <c r="M15" s="374"/>
      <c r="N15" s="374"/>
      <c r="O15" s="374"/>
      <c r="P15" s="374"/>
      <c r="Q15" s="374"/>
    </row>
    <row r="16" spans="2:22" ht="42" customHeight="1" x14ac:dyDescent="0.25">
      <c r="B16" s="80" t="s">
        <v>3797</v>
      </c>
      <c r="C16" s="204" t="s">
        <v>3798</v>
      </c>
      <c r="D16" s="166" t="s">
        <v>3799</v>
      </c>
      <c r="E16" s="80">
        <v>0</v>
      </c>
      <c r="F16" s="80">
        <v>0</v>
      </c>
      <c r="G16" s="80" t="s">
        <v>3732</v>
      </c>
      <c r="H16" s="166" t="s">
        <v>3800</v>
      </c>
      <c r="I16" s="166" t="s">
        <v>3801</v>
      </c>
      <c r="J16" s="166" t="s">
        <v>3802</v>
      </c>
      <c r="K16" s="166" t="s">
        <v>3778</v>
      </c>
      <c r="L16" s="166" t="s">
        <v>3779</v>
      </c>
      <c r="M16" s="166" t="s">
        <v>3795</v>
      </c>
      <c r="N16" s="166" t="s">
        <v>3790</v>
      </c>
      <c r="O16" s="166" t="s">
        <v>3773</v>
      </c>
      <c r="P16" s="166" t="s">
        <v>3740</v>
      </c>
      <c r="Q16" s="166" t="s">
        <v>3755</v>
      </c>
      <c r="R16" s="227" t="s">
        <v>3742</v>
      </c>
      <c r="S16" s="227">
        <v>25</v>
      </c>
      <c r="T16" s="227">
        <v>88</v>
      </c>
      <c r="U16" s="227">
        <v>74.8</v>
      </c>
      <c r="V16" s="227">
        <v>21.2</v>
      </c>
    </row>
    <row r="17" spans="2:22" ht="42" customHeight="1" x14ac:dyDescent="0.25">
      <c r="B17" s="72" t="s">
        <v>3797</v>
      </c>
      <c r="C17" s="201" t="s">
        <v>3803</v>
      </c>
      <c r="D17" s="165" t="s">
        <v>3804</v>
      </c>
      <c r="E17" s="72">
        <v>0</v>
      </c>
      <c r="F17" s="72">
        <v>0</v>
      </c>
      <c r="G17" s="72" t="s">
        <v>3732</v>
      </c>
      <c r="H17" s="165" t="s">
        <v>3800</v>
      </c>
      <c r="I17" s="165" t="s">
        <v>3805</v>
      </c>
      <c r="J17" s="165" t="s">
        <v>3806</v>
      </c>
      <c r="K17" s="165" t="s">
        <v>3735</v>
      </c>
      <c r="L17" s="165" t="s">
        <v>3763</v>
      </c>
      <c r="M17" s="165" t="s">
        <v>3780</v>
      </c>
      <c r="N17" s="165" t="s">
        <v>3790</v>
      </c>
      <c r="O17" s="165" t="s">
        <v>3773</v>
      </c>
      <c r="P17" s="165" t="s">
        <v>3740</v>
      </c>
      <c r="Q17" s="165" t="s">
        <v>3755</v>
      </c>
      <c r="R17" s="227" t="s">
        <v>3742</v>
      </c>
      <c r="S17" s="227">
        <v>24.5</v>
      </c>
      <c r="T17" s="227">
        <v>90</v>
      </c>
      <c r="U17" s="227">
        <v>76.5</v>
      </c>
      <c r="V17" s="227">
        <v>20.8</v>
      </c>
    </row>
    <row r="18" spans="2:22" ht="42" customHeight="1" x14ac:dyDescent="0.25">
      <c r="B18" s="80" t="s">
        <v>3797</v>
      </c>
      <c r="C18" s="204" t="s">
        <v>3807</v>
      </c>
      <c r="D18" s="166" t="s">
        <v>3808</v>
      </c>
      <c r="E18" s="80">
        <v>0</v>
      </c>
      <c r="F18" s="80">
        <v>0</v>
      </c>
      <c r="G18" s="80" t="s">
        <v>3732</v>
      </c>
      <c r="H18" s="166" t="s">
        <v>3800</v>
      </c>
      <c r="I18" s="166" t="s">
        <v>3809</v>
      </c>
      <c r="J18" s="166" t="s">
        <v>3810</v>
      </c>
      <c r="K18" s="166" t="s">
        <v>3735</v>
      </c>
      <c r="L18" s="166" t="s">
        <v>3763</v>
      </c>
      <c r="M18" s="166" t="s">
        <v>3780</v>
      </c>
      <c r="N18" s="166" t="s">
        <v>3754</v>
      </c>
      <c r="O18" s="166" t="s">
        <v>3773</v>
      </c>
      <c r="P18" s="166" t="s">
        <v>3740</v>
      </c>
      <c r="Q18" s="166" t="s">
        <v>3755</v>
      </c>
      <c r="R18" s="227" t="s">
        <v>3742</v>
      </c>
      <c r="S18" s="227">
        <v>24</v>
      </c>
      <c r="T18" s="227">
        <v>92</v>
      </c>
      <c r="U18" s="227">
        <v>78.2</v>
      </c>
      <c r="V18" s="227">
        <v>20.399999999999999</v>
      </c>
    </row>
    <row r="19" spans="2:22" ht="42" customHeight="1" x14ac:dyDescent="0.25">
      <c r="B19" s="72" t="s">
        <v>3797</v>
      </c>
      <c r="C19" s="201" t="s">
        <v>1857</v>
      </c>
      <c r="D19" s="165" t="s">
        <v>3811</v>
      </c>
      <c r="E19" s="72">
        <v>0</v>
      </c>
      <c r="F19" s="72">
        <v>0</v>
      </c>
      <c r="G19" s="72" t="s">
        <v>3732</v>
      </c>
      <c r="H19" s="165" t="s">
        <v>3800</v>
      </c>
      <c r="I19" s="165" t="s">
        <v>3812</v>
      </c>
      <c r="J19" s="165" t="s">
        <v>3813</v>
      </c>
      <c r="K19" s="165" t="s">
        <v>3752</v>
      </c>
      <c r="L19" s="165" t="s">
        <v>3747</v>
      </c>
      <c r="M19" s="165" t="s">
        <v>3753</v>
      </c>
      <c r="N19" s="165" t="s">
        <v>3754</v>
      </c>
      <c r="O19" s="165" t="s">
        <v>3764</v>
      </c>
      <c r="P19" s="165" t="s">
        <v>3740</v>
      </c>
      <c r="Q19" s="226" t="s">
        <v>3814</v>
      </c>
      <c r="R19" s="227" t="s">
        <v>3742</v>
      </c>
      <c r="S19" s="227">
        <v>23.5</v>
      </c>
      <c r="T19" s="227">
        <v>94</v>
      </c>
      <c r="U19" s="227">
        <v>79.900000000000006</v>
      </c>
      <c r="V19" s="227">
        <v>20</v>
      </c>
    </row>
    <row r="20" spans="2:22" ht="42" customHeight="1" x14ac:dyDescent="0.25">
      <c r="B20" s="80" t="s">
        <v>3797</v>
      </c>
      <c r="C20" s="204" t="s">
        <v>3815</v>
      </c>
      <c r="D20" s="166" t="s">
        <v>3816</v>
      </c>
      <c r="E20" s="80">
        <v>0</v>
      </c>
      <c r="F20" s="80">
        <v>0</v>
      </c>
      <c r="G20" s="80" t="s">
        <v>3732</v>
      </c>
      <c r="H20" s="166" t="s">
        <v>3800</v>
      </c>
      <c r="I20" s="166" t="s">
        <v>3817</v>
      </c>
      <c r="J20" s="166" t="s">
        <v>3818</v>
      </c>
      <c r="K20" s="166" t="s">
        <v>3735</v>
      </c>
      <c r="L20" s="166" t="s">
        <v>3763</v>
      </c>
      <c r="M20" s="166" t="s">
        <v>3780</v>
      </c>
      <c r="N20" s="166" t="s">
        <v>3754</v>
      </c>
      <c r="O20" s="166" t="s">
        <v>3773</v>
      </c>
      <c r="P20" s="166" t="s">
        <v>3740</v>
      </c>
      <c r="Q20" s="166" t="s">
        <v>3755</v>
      </c>
      <c r="R20" s="227" t="s">
        <v>3742</v>
      </c>
      <c r="S20" s="227">
        <v>22.5</v>
      </c>
      <c r="T20" s="227">
        <v>99</v>
      </c>
      <c r="U20" s="227">
        <v>84.1</v>
      </c>
      <c r="V20" s="227">
        <v>19.100000000000001</v>
      </c>
    </row>
    <row r="21" spans="2:22" ht="42" customHeight="1" x14ac:dyDescent="0.25">
      <c r="B21" s="72" t="s">
        <v>3797</v>
      </c>
      <c r="C21" s="201" t="s">
        <v>3819</v>
      </c>
      <c r="D21" s="165" t="s">
        <v>3820</v>
      </c>
      <c r="E21" s="72">
        <v>0</v>
      </c>
      <c r="F21" s="72">
        <v>0</v>
      </c>
      <c r="G21" s="72" t="s">
        <v>3732</v>
      </c>
      <c r="H21" s="165" t="s">
        <v>3800</v>
      </c>
      <c r="I21" s="165" t="s">
        <v>3821</v>
      </c>
      <c r="J21" s="165" t="s">
        <v>3822</v>
      </c>
      <c r="K21" s="165" t="s">
        <v>3752</v>
      </c>
      <c r="L21" s="165" t="s">
        <v>3747</v>
      </c>
      <c r="M21" s="165" t="s">
        <v>3753</v>
      </c>
      <c r="N21" s="165" t="s">
        <v>3754</v>
      </c>
      <c r="O21" s="165" t="s">
        <v>3739</v>
      </c>
      <c r="P21" s="165" t="s">
        <v>3740</v>
      </c>
      <c r="Q21" s="165" t="s">
        <v>3755</v>
      </c>
      <c r="R21" s="227" t="s">
        <v>3742</v>
      </c>
      <c r="S21" s="227">
        <v>21.7</v>
      </c>
      <c r="T21" s="227">
        <v>103.8</v>
      </c>
      <c r="U21" s="227">
        <v>88.2</v>
      </c>
      <c r="V21" s="227">
        <v>18.399999999999999</v>
      </c>
    </row>
    <row r="22" spans="2:22" ht="42" customHeight="1" x14ac:dyDescent="0.25">
      <c r="B22" s="80" t="s">
        <v>3797</v>
      </c>
      <c r="C22" s="204" t="s">
        <v>3823</v>
      </c>
      <c r="D22" s="166" t="s">
        <v>3824</v>
      </c>
      <c r="E22" s="80">
        <v>0</v>
      </c>
      <c r="F22" s="80">
        <v>0</v>
      </c>
      <c r="G22" s="80" t="s">
        <v>3732</v>
      </c>
      <c r="H22" s="166" t="s">
        <v>3800</v>
      </c>
      <c r="I22" s="166" t="s">
        <v>3825</v>
      </c>
      <c r="J22" s="166" t="s">
        <v>3826</v>
      </c>
      <c r="K22" s="166" t="s">
        <v>3752</v>
      </c>
      <c r="L22" s="166" t="s">
        <v>3747</v>
      </c>
      <c r="M22" s="166" t="s">
        <v>3753</v>
      </c>
      <c r="N22" s="166" t="s">
        <v>3754</v>
      </c>
      <c r="O22" s="166" t="s">
        <v>3739</v>
      </c>
      <c r="P22" s="166" t="s">
        <v>3740</v>
      </c>
      <c r="Q22" s="166" t="s">
        <v>3755</v>
      </c>
      <c r="R22" s="227" t="s">
        <v>3742</v>
      </c>
      <c r="S22" s="227">
        <v>20.8</v>
      </c>
      <c r="T22" s="227">
        <v>108.5</v>
      </c>
      <c r="U22" s="227">
        <v>92.2</v>
      </c>
      <c r="V22" s="227">
        <v>17.7</v>
      </c>
    </row>
    <row r="23" spans="2:22" ht="42" customHeight="1" x14ac:dyDescent="0.25">
      <c r="B23" s="72" t="s">
        <v>3797</v>
      </c>
      <c r="C23" s="201" t="s">
        <v>3827</v>
      </c>
      <c r="D23" s="165" t="s">
        <v>3828</v>
      </c>
      <c r="E23" s="72">
        <v>0</v>
      </c>
      <c r="F23" s="72">
        <v>0</v>
      </c>
      <c r="G23" s="72" t="s">
        <v>3732</v>
      </c>
      <c r="H23" s="165" t="s">
        <v>3800</v>
      </c>
      <c r="I23" s="165" t="s">
        <v>3829</v>
      </c>
      <c r="J23" s="165" t="s">
        <v>3830</v>
      </c>
      <c r="K23" s="165" t="s">
        <v>3752</v>
      </c>
      <c r="L23" s="165" t="s">
        <v>3747</v>
      </c>
      <c r="M23" s="165" t="s">
        <v>3831</v>
      </c>
      <c r="N23" s="165" t="s">
        <v>3754</v>
      </c>
      <c r="O23" s="165" t="s">
        <v>3739</v>
      </c>
      <c r="P23" s="165" t="s">
        <v>3740</v>
      </c>
      <c r="Q23" s="165" t="s">
        <v>3755</v>
      </c>
      <c r="R23" s="227" t="s">
        <v>3742</v>
      </c>
      <c r="S23" s="227">
        <v>20</v>
      </c>
      <c r="T23" s="227">
        <v>113.2</v>
      </c>
      <c r="U23" s="227">
        <v>96.2</v>
      </c>
      <c r="V23" s="227">
        <v>17</v>
      </c>
    </row>
    <row r="24" spans="2:22" ht="42" customHeight="1" x14ac:dyDescent="0.25">
      <c r="B24" s="80" t="s">
        <v>3797</v>
      </c>
      <c r="C24" s="204" t="s">
        <v>3832</v>
      </c>
      <c r="D24" s="166" t="s">
        <v>3833</v>
      </c>
      <c r="E24" s="80">
        <v>0</v>
      </c>
      <c r="F24" s="80">
        <v>0</v>
      </c>
      <c r="G24" s="80" t="s">
        <v>3732</v>
      </c>
      <c r="H24" s="166" t="s">
        <v>3800</v>
      </c>
      <c r="I24" s="166" t="s">
        <v>3834</v>
      </c>
      <c r="J24" s="166" t="s">
        <v>3835</v>
      </c>
      <c r="K24" s="166" t="s">
        <v>3752</v>
      </c>
      <c r="L24" s="166" t="s">
        <v>3747</v>
      </c>
      <c r="M24" s="166" t="s">
        <v>3831</v>
      </c>
      <c r="N24" s="166" t="s">
        <v>3754</v>
      </c>
      <c r="O24" s="166" t="s">
        <v>3739</v>
      </c>
      <c r="P24" s="166" t="s">
        <v>3740</v>
      </c>
      <c r="Q24" s="166" t="s">
        <v>3755</v>
      </c>
      <c r="R24" s="227" t="s">
        <v>3742</v>
      </c>
      <c r="S24" s="227">
        <v>19.2</v>
      </c>
      <c r="T24" s="227">
        <v>118</v>
      </c>
      <c r="U24" s="227">
        <v>100.3</v>
      </c>
      <c r="V24" s="227">
        <v>16.3</v>
      </c>
    </row>
    <row r="25" spans="2:22" ht="42" customHeight="1" x14ac:dyDescent="0.25">
      <c r="B25" s="72" t="s">
        <v>3797</v>
      </c>
      <c r="C25" s="201" t="s">
        <v>3836</v>
      </c>
      <c r="D25" s="165" t="s">
        <v>3837</v>
      </c>
      <c r="E25" s="72">
        <v>0</v>
      </c>
      <c r="F25" s="72">
        <v>0</v>
      </c>
      <c r="G25" s="72" t="s">
        <v>3732</v>
      </c>
      <c r="H25" s="165" t="s">
        <v>3800</v>
      </c>
      <c r="I25" s="165" t="s">
        <v>3838</v>
      </c>
      <c r="J25" s="165" t="s">
        <v>3839</v>
      </c>
      <c r="K25" s="165" t="s">
        <v>3752</v>
      </c>
      <c r="L25" s="165" t="s">
        <v>3747</v>
      </c>
      <c r="M25" s="165" t="s">
        <v>3831</v>
      </c>
      <c r="N25" s="165" t="s">
        <v>3840</v>
      </c>
      <c r="O25" s="165" t="s">
        <v>3764</v>
      </c>
      <c r="P25" s="165" t="s">
        <v>3740</v>
      </c>
      <c r="Q25" s="165" t="s">
        <v>3755</v>
      </c>
      <c r="R25" s="227" t="s">
        <v>3742</v>
      </c>
      <c r="S25" s="227">
        <v>18.3</v>
      </c>
      <c r="T25" s="227">
        <v>122.8</v>
      </c>
      <c r="U25" s="227">
        <v>104.4</v>
      </c>
      <c r="V25" s="227">
        <v>15.6</v>
      </c>
    </row>
    <row r="26" spans="2:22" ht="42" customHeight="1" x14ac:dyDescent="0.25">
      <c r="B26" s="80" t="s">
        <v>3797</v>
      </c>
      <c r="C26" s="204" t="s">
        <v>1863</v>
      </c>
      <c r="D26" s="166" t="s">
        <v>3841</v>
      </c>
      <c r="E26" s="80">
        <v>0</v>
      </c>
      <c r="F26" s="80">
        <v>0</v>
      </c>
      <c r="G26" s="80" t="s">
        <v>3732</v>
      </c>
      <c r="H26" s="166" t="s">
        <v>3842</v>
      </c>
      <c r="I26" s="166" t="s">
        <v>3843</v>
      </c>
      <c r="J26" s="166" t="s">
        <v>3844</v>
      </c>
      <c r="K26" s="166" t="s">
        <v>3752</v>
      </c>
      <c r="L26" s="166" t="s">
        <v>3763</v>
      </c>
      <c r="M26" s="166" t="s">
        <v>3831</v>
      </c>
      <c r="N26" s="166" t="s">
        <v>3754</v>
      </c>
      <c r="O26" s="166" t="s">
        <v>3764</v>
      </c>
      <c r="P26" s="166" t="s">
        <v>3740</v>
      </c>
      <c r="Q26" s="166" t="s">
        <v>3755</v>
      </c>
      <c r="R26" s="227" t="s">
        <v>3742</v>
      </c>
      <c r="S26" s="227">
        <v>17.5</v>
      </c>
      <c r="T26" s="227">
        <v>127.5</v>
      </c>
      <c r="U26" s="227">
        <v>108.4</v>
      </c>
      <c r="V26" s="227">
        <v>14.9</v>
      </c>
    </row>
    <row r="27" spans="2:22" ht="42" customHeight="1" x14ac:dyDescent="0.25">
      <c r="B27" s="72" t="s">
        <v>3797</v>
      </c>
      <c r="C27" s="201" t="s">
        <v>3845</v>
      </c>
      <c r="D27" s="165" t="s">
        <v>3846</v>
      </c>
      <c r="E27" s="72">
        <v>0</v>
      </c>
      <c r="F27" s="72">
        <v>0</v>
      </c>
      <c r="G27" s="72" t="s">
        <v>3732</v>
      </c>
      <c r="H27" s="165" t="s">
        <v>3800</v>
      </c>
      <c r="I27" s="165" t="s">
        <v>3847</v>
      </c>
      <c r="J27" s="165" t="s">
        <v>3848</v>
      </c>
      <c r="K27" s="165" t="s">
        <v>3735</v>
      </c>
      <c r="L27" s="165" t="s">
        <v>3763</v>
      </c>
      <c r="M27" s="165" t="s">
        <v>3753</v>
      </c>
      <c r="N27" s="165" t="s">
        <v>3754</v>
      </c>
      <c r="O27" s="165" t="s">
        <v>3739</v>
      </c>
      <c r="P27" s="165" t="s">
        <v>3740</v>
      </c>
      <c r="Q27" s="165" t="s">
        <v>3755</v>
      </c>
      <c r="R27" s="227" t="s">
        <v>3742</v>
      </c>
      <c r="S27" s="227">
        <v>17</v>
      </c>
      <c r="T27" s="227">
        <v>132.69999999999999</v>
      </c>
      <c r="U27" s="227">
        <v>112.8</v>
      </c>
      <c r="V27" s="227">
        <v>14.4</v>
      </c>
    </row>
    <row r="28" spans="2:22" ht="42" customHeight="1" x14ac:dyDescent="0.25">
      <c r="B28" s="80" t="s">
        <v>3797</v>
      </c>
      <c r="C28" s="204" t="s">
        <v>3849</v>
      </c>
      <c r="D28" s="166" t="s">
        <v>3850</v>
      </c>
      <c r="E28" s="80">
        <v>0</v>
      </c>
      <c r="F28" s="80">
        <v>0</v>
      </c>
      <c r="G28" s="80" t="s">
        <v>3732</v>
      </c>
      <c r="H28" s="166" t="s">
        <v>3800</v>
      </c>
      <c r="I28" s="166" t="s">
        <v>3851</v>
      </c>
      <c r="J28" s="166" t="s">
        <v>3852</v>
      </c>
      <c r="K28" s="166" t="s">
        <v>3752</v>
      </c>
      <c r="L28" s="166" t="s">
        <v>3747</v>
      </c>
      <c r="M28" s="166" t="s">
        <v>3753</v>
      </c>
      <c r="N28" s="166" t="s">
        <v>3754</v>
      </c>
      <c r="O28" s="166" t="s">
        <v>3739</v>
      </c>
      <c r="P28" s="166" t="s">
        <v>3740</v>
      </c>
      <c r="Q28" s="226" t="s">
        <v>3781</v>
      </c>
      <c r="R28" s="227" t="s">
        <v>3742</v>
      </c>
      <c r="S28" s="227">
        <v>16.5</v>
      </c>
      <c r="T28" s="227">
        <v>137.80000000000001</v>
      </c>
      <c r="U28" s="227">
        <v>117.1</v>
      </c>
      <c r="V28" s="227">
        <v>14</v>
      </c>
    </row>
    <row r="29" spans="2:22" ht="42" customHeight="1" x14ac:dyDescent="0.25">
      <c r="B29" s="72" t="s">
        <v>3797</v>
      </c>
      <c r="C29" s="201" t="s">
        <v>3853</v>
      </c>
      <c r="D29" s="165" t="s">
        <v>3854</v>
      </c>
      <c r="E29" s="72">
        <v>0</v>
      </c>
      <c r="F29" s="72">
        <v>0</v>
      </c>
      <c r="G29" s="72" t="s">
        <v>3732</v>
      </c>
      <c r="H29" s="165" t="s">
        <v>3855</v>
      </c>
      <c r="I29" s="165" t="s">
        <v>3856</v>
      </c>
      <c r="J29" s="165" t="s">
        <v>3857</v>
      </c>
      <c r="K29" s="165" t="s">
        <v>3752</v>
      </c>
      <c r="L29" s="165" t="s">
        <v>3747</v>
      </c>
      <c r="M29" s="165" t="s">
        <v>3753</v>
      </c>
      <c r="N29" s="165" t="s">
        <v>3754</v>
      </c>
      <c r="O29" s="165" t="s">
        <v>3764</v>
      </c>
      <c r="P29" s="165" t="s">
        <v>3740</v>
      </c>
      <c r="Q29" s="165" t="s">
        <v>3755</v>
      </c>
      <c r="R29" s="227" t="s">
        <v>3742</v>
      </c>
      <c r="S29" s="227">
        <v>16</v>
      </c>
      <c r="T29" s="227">
        <v>143</v>
      </c>
      <c r="U29" s="227">
        <v>121.5</v>
      </c>
      <c r="V29" s="227">
        <v>13.6</v>
      </c>
    </row>
    <row r="30" spans="2:22" ht="42" customHeight="1" x14ac:dyDescent="0.25">
      <c r="B30" s="80" t="s">
        <v>3797</v>
      </c>
      <c r="C30" s="204" t="s">
        <v>2260</v>
      </c>
      <c r="D30" s="166" t="s">
        <v>3858</v>
      </c>
      <c r="E30" s="80">
        <v>0</v>
      </c>
      <c r="F30" s="80">
        <v>0</v>
      </c>
      <c r="G30" s="80" t="s">
        <v>3732</v>
      </c>
      <c r="H30" s="166" t="s">
        <v>3855</v>
      </c>
      <c r="I30" s="166" t="s">
        <v>3859</v>
      </c>
      <c r="J30" s="166" t="s">
        <v>3860</v>
      </c>
      <c r="K30" s="166" t="s">
        <v>3752</v>
      </c>
      <c r="L30" s="166" t="s">
        <v>3763</v>
      </c>
      <c r="M30" s="166" t="s">
        <v>3831</v>
      </c>
      <c r="N30" s="166" t="s">
        <v>3754</v>
      </c>
      <c r="O30" s="166" t="s">
        <v>3764</v>
      </c>
      <c r="P30" s="166" t="s">
        <v>3740</v>
      </c>
      <c r="Q30" s="166" t="s">
        <v>3755</v>
      </c>
      <c r="R30" s="227" t="s">
        <v>3742</v>
      </c>
      <c r="S30" s="227">
        <v>15</v>
      </c>
      <c r="T30" s="227">
        <v>163</v>
      </c>
      <c r="U30" s="227">
        <v>138.5</v>
      </c>
      <c r="V30" s="227">
        <v>12.8</v>
      </c>
    </row>
    <row r="31" spans="2:22" ht="42" customHeight="1" x14ac:dyDescent="0.25">
      <c r="B31" s="72" t="s">
        <v>3797</v>
      </c>
      <c r="C31" s="201" t="s">
        <v>3861</v>
      </c>
      <c r="D31" s="165" t="s">
        <v>3862</v>
      </c>
      <c r="E31" s="72">
        <v>0</v>
      </c>
      <c r="F31" s="72">
        <v>0</v>
      </c>
      <c r="G31" s="72" t="s">
        <v>3732</v>
      </c>
      <c r="H31" s="165" t="s">
        <v>3855</v>
      </c>
      <c r="I31" s="165" t="s">
        <v>3863</v>
      </c>
      <c r="J31" s="165" t="s">
        <v>3864</v>
      </c>
      <c r="K31" s="165" t="s">
        <v>3735</v>
      </c>
      <c r="L31" s="165" t="s">
        <v>3747</v>
      </c>
      <c r="M31" s="165" t="s">
        <v>3737</v>
      </c>
      <c r="N31" s="165" t="s">
        <v>3738</v>
      </c>
      <c r="O31" s="165" t="s">
        <v>3764</v>
      </c>
      <c r="P31" s="165" t="s">
        <v>3740</v>
      </c>
      <c r="Q31" s="226" t="s">
        <v>3741</v>
      </c>
      <c r="R31" s="227" t="s">
        <v>3742</v>
      </c>
      <c r="S31" s="227">
        <v>12</v>
      </c>
      <c r="T31" s="227">
        <v>167.5</v>
      </c>
      <c r="U31" s="227">
        <v>142.4</v>
      </c>
      <c r="V31" s="227">
        <v>10.199999999999999</v>
      </c>
    </row>
    <row r="32" spans="2:22" ht="42" customHeight="1" x14ac:dyDescent="0.25">
      <c r="B32" s="80" t="s">
        <v>3797</v>
      </c>
      <c r="C32" s="204" t="s">
        <v>3865</v>
      </c>
      <c r="D32" s="166" t="s">
        <v>3866</v>
      </c>
      <c r="E32" s="80">
        <v>0</v>
      </c>
      <c r="F32" s="80">
        <v>0</v>
      </c>
      <c r="G32" s="80" t="s">
        <v>3732</v>
      </c>
      <c r="H32" s="166" t="s">
        <v>3867</v>
      </c>
      <c r="I32" s="166" t="s">
        <v>3868</v>
      </c>
      <c r="J32" s="166" t="s">
        <v>3869</v>
      </c>
      <c r="K32" s="166" t="s">
        <v>3778</v>
      </c>
      <c r="L32" s="166" t="s">
        <v>3736</v>
      </c>
      <c r="M32" s="166" t="s">
        <v>3780</v>
      </c>
      <c r="N32" s="166" t="s">
        <v>3790</v>
      </c>
      <c r="O32" s="166" t="s">
        <v>3739</v>
      </c>
      <c r="P32" s="166" t="s">
        <v>3740</v>
      </c>
      <c r="Q32" s="226" t="s">
        <v>3781</v>
      </c>
      <c r="R32" s="227" t="s">
        <v>3742</v>
      </c>
      <c r="S32" s="227">
        <v>8.5</v>
      </c>
      <c r="T32" s="227">
        <v>171.5</v>
      </c>
      <c r="U32" s="227">
        <v>145.80000000000001</v>
      </c>
      <c r="V32" s="227">
        <v>7.2</v>
      </c>
    </row>
    <row r="33" spans="2:22" ht="42" customHeight="1" x14ac:dyDescent="0.25">
      <c r="B33" s="72" t="s">
        <v>3797</v>
      </c>
      <c r="C33" s="201" t="s">
        <v>3870</v>
      </c>
      <c r="D33" s="165" t="s">
        <v>3871</v>
      </c>
      <c r="E33" s="72">
        <v>0</v>
      </c>
      <c r="F33" s="72">
        <v>0</v>
      </c>
      <c r="G33" s="72" t="s">
        <v>3732</v>
      </c>
      <c r="H33" s="165" t="s">
        <v>3867</v>
      </c>
      <c r="I33" s="165" t="s">
        <v>3872</v>
      </c>
      <c r="J33" s="165" t="s">
        <v>3873</v>
      </c>
      <c r="K33" s="165" t="s">
        <v>3874</v>
      </c>
      <c r="L33" s="165" t="s">
        <v>3779</v>
      </c>
      <c r="M33" s="165" t="s">
        <v>3780</v>
      </c>
      <c r="N33" s="165" t="s">
        <v>3790</v>
      </c>
      <c r="O33" s="165" t="s">
        <v>3739</v>
      </c>
      <c r="P33" s="165" t="s">
        <v>3740</v>
      </c>
      <c r="Q33" s="226" t="s">
        <v>3781</v>
      </c>
      <c r="R33" s="227" t="s">
        <v>3742</v>
      </c>
      <c r="S33" s="227">
        <v>5</v>
      </c>
      <c r="T33" s="227">
        <v>175.5</v>
      </c>
      <c r="U33" s="227">
        <v>149.19999999999999</v>
      </c>
      <c r="V33" s="227">
        <v>4.2</v>
      </c>
    </row>
    <row r="34" spans="2:22" ht="42" customHeight="1" x14ac:dyDescent="0.25">
      <c r="B34" s="80" t="s">
        <v>3797</v>
      </c>
      <c r="C34" s="204" t="s">
        <v>3875</v>
      </c>
      <c r="D34" s="166" t="s">
        <v>3876</v>
      </c>
      <c r="E34" s="80">
        <v>0</v>
      </c>
      <c r="F34" s="80">
        <v>0</v>
      </c>
      <c r="G34" s="80" t="s">
        <v>3732</v>
      </c>
      <c r="H34" s="166" t="s">
        <v>3867</v>
      </c>
      <c r="I34" s="166" t="s">
        <v>3877</v>
      </c>
      <c r="J34" s="166" t="s">
        <v>3878</v>
      </c>
      <c r="K34" s="166" t="s">
        <v>3879</v>
      </c>
      <c r="L34" s="166" t="s">
        <v>3736</v>
      </c>
      <c r="M34" s="166" t="s">
        <v>3772</v>
      </c>
      <c r="N34" s="166" t="s">
        <v>3880</v>
      </c>
      <c r="O34" s="166" t="s">
        <v>3773</v>
      </c>
      <c r="P34" s="166" t="s">
        <v>3740</v>
      </c>
      <c r="Q34" s="166" t="s">
        <v>3755</v>
      </c>
      <c r="R34" s="227" t="s">
        <v>3742</v>
      </c>
      <c r="S34" s="227">
        <v>2.2000000000000002</v>
      </c>
      <c r="T34" s="227">
        <v>185</v>
      </c>
      <c r="U34" s="227">
        <v>157.19999999999999</v>
      </c>
      <c r="V34" s="227">
        <v>1.9</v>
      </c>
    </row>
    <row r="35" spans="2:22" ht="42" customHeight="1" x14ac:dyDescent="0.25">
      <c r="B35" s="72" t="s">
        <v>3797</v>
      </c>
      <c r="C35" s="201" t="s">
        <v>2774</v>
      </c>
      <c r="D35" s="165" t="s">
        <v>3881</v>
      </c>
      <c r="E35" s="72">
        <v>0</v>
      </c>
      <c r="F35" s="72">
        <v>0</v>
      </c>
      <c r="G35" s="72" t="s">
        <v>3732</v>
      </c>
      <c r="H35" s="165" t="s">
        <v>3867</v>
      </c>
      <c r="I35" s="165" t="s">
        <v>3882</v>
      </c>
      <c r="J35" s="165" t="s">
        <v>3883</v>
      </c>
      <c r="K35" s="165" t="s">
        <v>3879</v>
      </c>
      <c r="L35" s="165" t="s">
        <v>3736</v>
      </c>
      <c r="M35" s="165" t="s">
        <v>3772</v>
      </c>
      <c r="N35" s="165" t="s">
        <v>3880</v>
      </c>
      <c r="O35" s="165" t="s">
        <v>3773</v>
      </c>
      <c r="P35" s="165" t="s">
        <v>3740</v>
      </c>
      <c r="Q35" s="165" t="s">
        <v>3755</v>
      </c>
      <c r="R35" s="227" t="s">
        <v>3742</v>
      </c>
      <c r="S35" s="227">
        <v>2.6</v>
      </c>
      <c r="T35" s="227">
        <v>184</v>
      </c>
      <c r="U35" s="227">
        <v>156.4</v>
      </c>
      <c r="V35" s="227">
        <v>2.2000000000000002</v>
      </c>
    </row>
    <row r="36" spans="2:22" ht="18" customHeight="1" x14ac:dyDescent="0.25">
      <c r="B36" s="374" t="s">
        <v>3884</v>
      </c>
      <c r="C36" s="374"/>
      <c r="D36" s="374"/>
      <c r="E36" s="374"/>
      <c r="F36" s="374"/>
      <c r="G36" s="374"/>
      <c r="H36" s="374"/>
      <c r="I36" s="374"/>
      <c r="J36" s="374"/>
      <c r="K36" s="374"/>
      <c r="L36" s="374"/>
      <c r="M36" s="374"/>
      <c r="N36" s="374"/>
      <c r="O36" s="374"/>
      <c r="P36" s="374"/>
      <c r="Q36" s="374"/>
    </row>
    <row r="37" spans="2:22" ht="42" customHeight="1" x14ac:dyDescent="0.25">
      <c r="B37" s="72" t="s">
        <v>3885</v>
      </c>
      <c r="C37" s="201" t="s">
        <v>3886</v>
      </c>
      <c r="D37" s="165" t="s">
        <v>3887</v>
      </c>
      <c r="E37" s="72">
        <v>0</v>
      </c>
      <c r="F37" s="72">
        <v>0</v>
      </c>
      <c r="G37" s="72" t="s">
        <v>3732</v>
      </c>
      <c r="H37" s="165" t="s">
        <v>3867</v>
      </c>
      <c r="I37" s="165" t="s">
        <v>3888</v>
      </c>
      <c r="J37" s="165" t="s">
        <v>3889</v>
      </c>
      <c r="K37" s="165" t="s">
        <v>3874</v>
      </c>
      <c r="L37" s="165" t="s">
        <v>3779</v>
      </c>
      <c r="M37" s="165" t="s">
        <v>3780</v>
      </c>
      <c r="N37" s="165" t="s">
        <v>3880</v>
      </c>
      <c r="O37" s="165" t="s">
        <v>3773</v>
      </c>
      <c r="P37" s="165" t="s">
        <v>3740</v>
      </c>
      <c r="Q37" s="226" t="s">
        <v>3890</v>
      </c>
      <c r="R37" s="227" t="s">
        <v>3742</v>
      </c>
      <c r="S37" s="227">
        <v>3</v>
      </c>
      <c r="T37" s="227">
        <v>188</v>
      </c>
      <c r="U37" s="227">
        <v>159.80000000000001</v>
      </c>
      <c r="V37" s="227">
        <v>2.5</v>
      </c>
    </row>
    <row r="38" spans="2:22" ht="42" customHeight="1" x14ac:dyDescent="0.25">
      <c r="B38" s="80" t="s">
        <v>3885</v>
      </c>
      <c r="C38" s="204" t="s">
        <v>3891</v>
      </c>
      <c r="D38" s="166" t="s">
        <v>3892</v>
      </c>
      <c r="E38" s="80">
        <v>0</v>
      </c>
      <c r="F38" s="80">
        <v>0</v>
      </c>
      <c r="G38" s="80" t="s">
        <v>3732</v>
      </c>
      <c r="H38" s="166" t="s">
        <v>3867</v>
      </c>
      <c r="I38" s="166" t="s">
        <v>3893</v>
      </c>
      <c r="J38" s="166" t="s">
        <v>3894</v>
      </c>
      <c r="K38" s="166" t="s">
        <v>3879</v>
      </c>
      <c r="L38" s="166" t="s">
        <v>3736</v>
      </c>
      <c r="M38" s="166" t="s">
        <v>3780</v>
      </c>
      <c r="N38" s="166" t="s">
        <v>3880</v>
      </c>
      <c r="O38" s="166" t="s">
        <v>3773</v>
      </c>
      <c r="P38" s="166" t="s">
        <v>3740</v>
      </c>
      <c r="Q38" s="226" t="s">
        <v>3781</v>
      </c>
      <c r="R38" s="227" t="s">
        <v>3742</v>
      </c>
      <c r="S38" s="227">
        <v>3</v>
      </c>
      <c r="T38" s="227">
        <v>186</v>
      </c>
      <c r="U38" s="227">
        <v>158.1</v>
      </c>
      <c r="V38" s="227">
        <v>2.5</v>
      </c>
    </row>
    <row r="39" spans="2:22" ht="42" customHeight="1" x14ac:dyDescent="0.25">
      <c r="B39" s="72" t="s">
        <v>3885</v>
      </c>
      <c r="C39" s="201" t="s">
        <v>3895</v>
      </c>
      <c r="D39" s="165" t="s">
        <v>3896</v>
      </c>
      <c r="E39" s="72">
        <v>0</v>
      </c>
      <c r="F39" s="72">
        <v>0</v>
      </c>
      <c r="G39" s="72" t="s">
        <v>3732</v>
      </c>
      <c r="H39" s="165" t="s">
        <v>3867</v>
      </c>
      <c r="I39" s="165" t="s">
        <v>3897</v>
      </c>
      <c r="J39" s="165" t="s">
        <v>3898</v>
      </c>
      <c r="K39" s="165" t="s">
        <v>3879</v>
      </c>
      <c r="L39" s="165" t="s">
        <v>3736</v>
      </c>
      <c r="M39" s="165" t="s">
        <v>3772</v>
      </c>
      <c r="N39" s="165" t="s">
        <v>3880</v>
      </c>
      <c r="O39" s="165" t="s">
        <v>3773</v>
      </c>
      <c r="P39" s="165" t="s">
        <v>3740</v>
      </c>
      <c r="Q39" s="165" t="s">
        <v>3755</v>
      </c>
      <c r="R39" s="227" t="s">
        <v>3742</v>
      </c>
      <c r="S39" s="227">
        <v>3.2</v>
      </c>
      <c r="T39" s="227">
        <v>184</v>
      </c>
      <c r="U39" s="227">
        <v>156.4</v>
      </c>
      <c r="V39" s="227">
        <v>2.7</v>
      </c>
    </row>
    <row r="40" spans="2:22" ht="42" customHeight="1" x14ac:dyDescent="0.25">
      <c r="B40" s="80" t="s">
        <v>3885</v>
      </c>
      <c r="C40" s="204" t="s">
        <v>3899</v>
      </c>
      <c r="D40" s="166" t="s">
        <v>3900</v>
      </c>
      <c r="E40" s="80">
        <v>0</v>
      </c>
      <c r="F40" s="80">
        <v>0</v>
      </c>
      <c r="G40" s="80" t="s">
        <v>3732</v>
      </c>
      <c r="H40" s="166" t="s">
        <v>3867</v>
      </c>
      <c r="I40" s="166" t="s">
        <v>3901</v>
      </c>
      <c r="J40" s="166" t="s">
        <v>3902</v>
      </c>
      <c r="K40" s="166" t="s">
        <v>3879</v>
      </c>
      <c r="L40" s="166" t="s">
        <v>3736</v>
      </c>
      <c r="M40" s="166" t="s">
        <v>3772</v>
      </c>
      <c r="N40" s="166" t="s">
        <v>3880</v>
      </c>
      <c r="O40" s="166" t="s">
        <v>3773</v>
      </c>
      <c r="P40" s="166" t="s">
        <v>3740</v>
      </c>
      <c r="Q40" s="166" t="s">
        <v>3755</v>
      </c>
      <c r="R40" s="227" t="s">
        <v>3742</v>
      </c>
      <c r="S40" s="227">
        <v>3.4</v>
      </c>
      <c r="T40" s="227">
        <v>180.5</v>
      </c>
      <c r="U40" s="227">
        <v>153.4</v>
      </c>
      <c r="V40" s="227">
        <v>2.9</v>
      </c>
    </row>
    <row r="41" spans="2:22" ht="42" customHeight="1" x14ac:dyDescent="0.25">
      <c r="B41" s="72" t="s">
        <v>3885</v>
      </c>
      <c r="C41" s="201" t="s">
        <v>2342</v>
      </c>
      <c r="D41" s="165" t="s">
        <v>3903</v>
      </c>
      <c r="E41" s="72">
        <v>0</v>
      </c>
      <c r="F41" s="72">
        <v>0</v>
      </c>
      <c r="G41" s="72" t="s">
        <v>3732</v>
      </c>
      <c r="H41" s="165" t="s">
        <v>3867</v>
      </c>
      <c r="I41" s="165" t="s">
        <v>3904</v>
      </c>
      <c r="J41" s="165" t="s">
        <v>3905</v>
      </c>
      <c r="K41" s="165" t="s">
        <v>3752</v>
      </c>
      <c r="L41" s="165" t="s">
        <v>3747</v>
      </c>
      <c r="M41" s="165" t="s">
        <v>3772</v>
      </c>
      <c r="N41" s="165" t="s">
        <v>3754</v>
      </c>
      <c r="O41" s="165" t="s">
        <v>3764</v>
      </c>
      <c r="P41" s="165" t="s">
        <v>3740</v>
      </c>
      <c r="Q41" s="165" t="s">
        <v>3755</v>
      </c>
      <c r="R41" s="227" t="s">
        <v>3742</v>
      </c>
      <c r="S41" s="227">
        <v>5.2</v>
      </c>
      <c r="T41" s="227">
        <v>178</v>
      </c>
      <c r="U41" s="227">
        <v>151.30000000000001</v>
      </c>
      <c r="V41" s="227">
        <v>4.4000000000000004</v>
      </c>
    </row>
    <row r="42" spans="2:22" ht="42" customHeight="1" x14ac:dyDescent="0.25">
      <c r="B42" s="80" t="s">
        <v>3885</v>
      </c>
      <c r="C42" s="204" t="s">
        <v>3268</v>
      </c>
      <c r="D42" s="166" t="s">
        <v>3906</v>
      </c>
      <c r="E42" s="80">
        <v>0</v>
      </c>
      <c r="F42" s="80">
        <v>0</v>
      </c>
      <c r="G42" s="80" t="s">
        <v>3732</v>
      </c>
      <c r="H42" s="166" t="s">
        <v>3867</v>
      </c>
      <c r="I42" s="166" t="s">
        <v>3907</v>
      </c>
      <c r="J42" s="166" t="s">
        <v>3908</v>
      </c>
      <c r="K42" s="166" t="s">
        <v>3735</v>
      </c>
      <c r="L42" s="166" t="s">
        <v>3763</v>
      </c>
      <c r="M42" s="166" t="s">
        <v>3780</v>
      </c>
      <c r="N42" s="166" t="s">
        <v>3880</v>
      </c>
      <c r="O42" s="166" t="s">
        <v>3764</v>
      </c>
      <c r="P42" s="166" t="s">
        <v>3740</v>
      </c>
      <c r="Q42" s="166" t="s">
        <v>3755</v>
      </c>
      <c r="R42" s="227" t="s">
        <v>3742</v>
      </c>
      <c r="S42" s="227">
        <v>5.6</v>
      </c>
      <c r="T42" s="227">
        <v>181</v>
      </c>
      <c r="U42" s="227">
        <v>153.80000000000001</v>
      </c>
      <c r="V42" s="227">
        <v>4.8</v>
      </c>
    </row>
    <row r="43" spans="2:22" ht="42" customHeight="1" x14ac:dyDescent="0.25">
      <c r="B43" s="72" t="s">
        <v>3885</v>
      </c>
      <c r="C43" s="201" t="s">
        <v>3909</v>
      </c>
      <c r="D43" s="165" t="s">
        <v>3910</v>
      </c>
      <c r="E43" s="72">
        <v>0</v>
      </c>
      <c r="F43" s="72">
        <v>0</v>
      </c>
      <c r="G43" s="72" t="s">
        <v>3732</v>
      </c>
      <c r="H43" s="165" t="s">
        <v>3867</v>
      </c>
      <c r="I43" s="165" t="s">
        <v>3911</v>
      </c>
      <c r="J43" s="165" t="s">
        <v>3912</v>
      </c>
      <c r="K43" s="165" t="s">
        <v>3735</v>
      </c>
      <c r="L43" s="165" t="s">
        <v>3747</v>
      </c>
      <c r="M43" s="165" t="s">
        <v>3772</v>
      </c>
      <c r="N43" s="165" t="s">
        <v>3880</v>
      </c>
      <c r="O43" s="165" t="s">
        <v>3764</v>
      </c>
      <c r="P43" s="165" t="s">
        <v>3740</v>
      </c>
      <c r="Q43" s="165" t="s">
        <v>3755</v>
      </c>
      <c r="R43" s="227" t="s">
        <v>3742</v>
      </c>
      <c r="S43" s="227">
        <v>7.5</v>
      </c>
      <c r="T43" s="227">
        <v>188</v>
      </c>
      <c r="U43" s="227">
        <v>159.80000000000001</v>
      </c>
      <c r="V43" s="227">
        <v>6.4</v>
      </c>
    </row>
    <row r="44" spans="2:22" ht="42" customHeight="1" x14ac:dyDescent="0.25">
      <c r="B44" s="80" t="s">
        <v>3885</v>
      </c>
      <c r="C44" s="204" t="s">
        <v>3913</v>
      </c>
      <c r="D44" s="166" t="s">
        <v>3914</v>
      </c>
      <c r="E44" s="80">
        <v>0</v>
      </c>
      <c r="F44" s="80">
        <v>0</v>
      </c>
      <c r="G44" s="80" t="s">
        <v>3732</v>
      </c>
      <c r="H44" s="166" t="s">
        <v>3915</v>
      </c>
      <c r="I44" s="166" t="s">
        <v>3916</v>
      </c>
      <c r="J44" s="166" t="s">
        <v>1722</v>
      </c>
      <c r="K44" s="166" t="s">
        <v>3874</v>
      </c>
      <c r="L44" s="166" t="s">
        <v>3779</v>
      </c>
      <c r="M44" s="166" t="s">
        <v>3917</v>
      </c>
      <c r="N44" s="166" t="s">
        <v>3790</v>
      </c>
      <c r="O44" s="166" t="s">
        <v>3773</v>
      </c>
      <c r="P44" s="166" t="s">
        <v>3740</v>
      </c>
      <c r="Q44" s="226" t="s">
        <v>3781</v>
      </c>
      <c r="R44" s="227" t="s">
        <v>3742</v>
      </c>
      <c r="S44" s="227">
        <v>4.5</v>
      </c>
      <c r="T44" s="227">
        <v>174</v>
      </c>
      <c r="U44" s="227">
        <v>147.9</v>
      </c>
      <c r="V44" s="227">
        <v>3.8</v>
      </c>
    </row>
    <row r="45" spans="2:22" ht="42" customHeight="1" x14ac:dyDescent="0.25">
      <c r="B45" s="72" t="s">
        <v>3885</v>
      </c>
      <c r="C45" s="201" t="s">
        <v>3918</v>
      </c>
      <c r="D45" s="165" t="s">
        <v>3919</v>
      </c>
      <c r="E45" s="72">
        <v>0</v>
      </c>
      <c r="F45" s="72">
        <v>0</v>
      </c>
      <c r="G45" s="72" t="s">
        <v>3732</v>
      </c>
      <c r="H45" s="165" t="s">
        <v>2348</v>
      </c>
      <c r="I45" s="165" t="s">
        <v>3920</v>
      </c>
      <c r="J45" s="165" t="s">
        <v>3921</v>
      </c>
      <c r="K45" s="165" t="s">
        <v>3778</v>
      </c>
      <c r="L45" s="165" t="s">
        <v>3736</v>
      </c>
      <c r="M45" s="165" t="s">
        <v>3737</v>
      </c>
      <c r="N45" s="165" t="s">
        <v>3790</v>
      </c>
      <c r="O45" s="165" t="s">
        <v>3739</v>
      </c>
      <c r="P45" s="165" t="s">
        <v>3740</v>
      </c>
      <c r="Q45" s="226" t="s">
        <v>3741</v>
      </c>
      <c r="R45" s="227" t="s">
        <v>3742</v>
      </c>
      <c r="S45" s="227">
        <v>6.5</v>
      </c>
      <c r="T45" s="227">
        <v>168</v>
      </c>
      <c r="U45" s="227">
        <v>142.80000000000001</v>
      </c>
      <c r="V45" s="227">
        <v>5.5</v>
      </c>
    </row>
    <row r="46" spans="2:22" ht="42" customHeight="1" x14ac:dyDescent="0.25">
      <c r="B46" s="80" t="s">
        <v>3885</v>
      </c>
      <c r="C46" s="204" t="s">
        <v>3922</v>
      </c>
      <c r="D46" s="166" t="s">
        <v>3923</v>
      </c>
      <c r="E46" s="80">
        <v>0</v>
      </c>
      <c r="F46" s="80">
        <v>0</v>
      </c>
      <c r="G46" s="80" t="s">
        <v>3732</v>
      </c>
      <c r="H46" s="166" t="s">
        <v>2348</v>
      </c>
      <c r="I46" s="166" t="s">
        <v>3924</v>
      </c>
      <c r="J46" s="166" t="s">
        <v>3925</v>
      </c>
      <c r="K46" s="166" t="s">
        <v>3735</v>
      </c>
      <c r="L46" s="166" t="s">
        <v>3736</v>
      </c>
      <c r="M46" s="166" t="s">
        <v>3737</v>
      </c>
      <c r="N46" s="166" t="s">
        <v>3738</v>
      </c>
      <c r="O46" s="166" t="s">
        <v>3739</v>
      </c>
      <c r="P46" s="166" t="s">
        <v>3740</v>
      </c>
      <c r="Q46" s="226" t="s">
        <v>3741</v>
      </c>
      <c r="R46" s="227" t="s">
        <v>3742</v>
      </c>
      <c r="S46" s="227">
        <v>6.5</v>
      </c>
      <c r="T46" s="227">
        <v>150</v>
      </c>
      <c r="U46" s="227">
        <v>127.5</v>
      </c>
      <c r="V46" s="227">
        <v>5.5</v>
      </c>
    </row>
    <row r="47" spans="2:22" ht="42" customHeight="1" x14ac:dyDescent="0.25">
      <c r="B47" s="72" t="s">
        <v>3885</v>
      </c>
      <c r="C47" s="201" t="s">
        <v>3926</v>
      </c>
      <c r="D47" s="165" t="s">
        <v>3927</v>
      </c>
      <c r="E47" s="72">
        <v>0</v>
      </c>
      <c r="F47" s="72">
        <v>0</v>
      </c>
      <c r="G47" s="72" t="s">
        <v>3732</v>
      </c>
      <c r="H47" s="165" t="s">
        <v>3915</v>
      </c>
      <c r="I47" s="165" t="s">
        <v>3928</v>
      </c>
      <c r="J47" s="165" t="s">
        <v>3929</v>
      </c>
      <c r="K47" s="165" t="s">
        <v>3735</v>
      </c>
      <c r="L47" s="165" t="s">
        <v>3747</v>
      </c>
      <c r="M47" s="165" t="s">
        <v>3930</v>
      </c>
      <c r="N47" s="165" t="s">
        <v>3754</v>
      </c>
      <c r="O47" s="165" t="s">
        <v>3739</v>
      </c>
      <c r="P47" s="165" t="s">
        <v>3740</v>
      </c>
      <c r="Q47" s="165" t="s">
        <v>3755</v>
      </c>
      <c r="R47" s="227" t="s">
        <v>3742</v>
      </c>
      <c r="S47" s="227">
        <v>3.5</v>
      </c>
      <c r="T47" s="227">
        <v>128</v>
      </c>
      <c r="U47" s="227">
        <v>108.8</v>
      </c>
      <c r="V47" s="227">
        <v>3</v>
      </c>
    </row>
    <row r="48" spans="2:22" ht="42" customHeight="1" x14ac:dyDescent="0.25">
      <c r="B48" s="80" t="s">
        <v>3885</v>
      </c>
      <c r="C48" s="204" t="s">
        <v>2853</v>
      </c>
      <c r="D48" s="166" t="s">
        <v>3931</v>
      </c>
      <c r="E48" s="80">
        <v>0</v>
      </c>
      <c r="F48" s="80">
        <v>0</v>
      </c>
      <c r="G48" s="80" t="s">
        <v>3732</v>
      </c>
      <c r="H48" s="166" t="s">
        <v>3915</v>
      </c>
      <c r="I48" s="166" t="s">
        <v>3932</v>
      </c>
      <c r="J48" s="166" t="s">
        <v>3933</v>
      </c>
      <c r="K48" s="166" t="s">
        <v>3752</v>
      </c>
      <c r="L48" s="166" t="s">
        <v>3747</v>
      </c>
      <c r="M48" s="166" t="s">
        <v>3930</v>
      </c>
      <c r="N48" s="166" t="s">
        <v>3840</v>
      </c>
      <c r="O48" s="166" t="s">
        <v>3739</v>
      </c>
      <c r="P48" s="166" t="s">
        <v>3740</v>
      </c>
      <c r="Q48" s="226" t="s">
        <v>3814</v>
      </c>
      <c r="R48" s="227" t="s">
        <v>3742</v>
      </c>
      <c r="S48" s="227">
        <v>3.5</v>
      </c>
      <c r="T48" s="227">
        <v>120</v>
      </c>
      <c r="U48" s="227">
        <v>102</v>
      </c>
      <c r="V48" s="227">
        <v>3</v>
      </c>
    </row>
    <row r="49" spans="2:22" ht="42" customHeight="1" x14ac:dyDescent="0.25">
      <c r="B49" s="72" t="s">
        <v>3885</v>
      </c>
      <c r="C49" s="201" t="s">
        <v>3934</v>
      </c>
      <c r="D49" s="165" t="s">
        <v>3935</v>
      </c>
      <c r="E49" s="72">
        <v>0</v>
      </c>
      <c r="F49" s="72">
        <v>0</v>
      </c>
      <c r="G49" s="72" t="s">
        <v>3732</v>
      </c>
      <c r="H49" s="165" t="s">
        <v>3936</v>
      </c>
      <c r="I49" s="165" t="s">
        <v>3937</v>
      </c>
      <c r="J49" s="165" t="s">
        <v>3938</v>
      </c>
      <c r="K49" s="165" t="s">
        <v>3735</v>
      </c>
      <c r="L49" s="165" t="s">
        <v>3747</v>
      </c>
      <c r="M49" s="165" t="s">
        <v>3930</v>
      </c>
      <c r="N49" s="165" t="s">
        <v>3754</v>
      </c>
      <c r="O49" s="165" t="s">
        <v>3773</v>
      </c>
      <c r="P49" s="165" t="s">
        <v>3740</v>
      </c>
      <c r="Q49" s="226" t="s">
        <v>3814</v>
      </c>
      <c r="R49" s="227" t="s">
        <v>3742</v>
      </c>
      <c r="S49" s="227">
        <v>3.5</v>
      </c>
      <c r="T49" s="227">
        <v>112</v>
      </c>
      <c r="U49" s="227">
        <v>95.2</v>
      </c>
      <c r="V49" s="227">
        <v>3</v>
      </c>
    </row>
    <row r="50" spans="2:22" ht="42" customHeight="1" x14ac:dyDescent="0.25">
      <c r="B50" s="80" t="s">
        <v>3885</v>
      </c>
      <c r="C50" s="204" t="s">
        <v>3939</v>
      </c>
      <c r="D50" s="166" t="s">
        <v>3940</v>
      </c>
      <c r="E50" s="80">
        <v>0</v>
      </c>
      <c r="F50" s="80">
        <v>0</v>
      </c>
      <c r="G50" s="80" t="s">
        <v>3732</v>
      </c>
      <c r="H50" s="166" t="s">
        <v>3936</v>
      </c>
      <c r="I50" s="166" t="s">
        <v>3941</v>
      </c>
      <c r="J50" s="166" t="s">
        <v>3942</v>
      </c>
      <c r="K50" s="166" t="s">
        <v>3735</v>
      </c>
      <c r="L50" s="166" t="s">
        <v>3747</v>
      </c>
      <c r="M50" s="166" t="s">
        <v>3930</v>
      </c>
      <c r="N50" s="166" t="s">
        <v>3840</v>
      </c>
      <c r="O50" s="166" t="s">
        <v>3773</v>
      </c>
      <c r="P50" s="166" t="s">
        <v>3740</v>
      </c>
      <c r="Q50" s="226" t="s">
        <v>3814</v>
      </c>
      <c r="R50" s="227" t="s">
        <v>3742</v>
      </c>
      <c r="S50" s="227">
        <v>3.5</v>
      </c>
      <c r="T50" s="227">
        <v>108</v>
      </c>
      <c r="U50" s="227">
        <v>91.8</v>
      </c>
      <c r="V50" s="227">
        <v>3</v>
      </c>
    </row>
    <row r="51" spans="2:22" ht="42" customHeight="1" x14ac:dyDescent="0.25">
      <c r="B51" s="72" t="s">
        <v>3885</v>
      </c>
      <c r="C51" s="201" t="s">
        <v>3943</v>
      </c>
      <c r="D51" s="165" t="s">
        <v>3944</v>
      </c>
      <c r="E51" s="72">
        <v>0</v>
      </c>
      <c r="F51" s="72">
        <v>0</v>
      </c>
      <c r="G51" s="72" t="s">
        <v>3732</v>
      </c>
      <c r="H51" s="165" t="s">
        <v>3936</v>
      </c>
      <c r="I51" s="165" t="s">
        <v>3945</v>
      </c>
      <c r="J51" s="165" t="s">
        <v>3946</v>
      </c>
      <c r="K51" s="165" t="s">
        <v>3778</v>
      </c>
      <c r="L51" s="165" t="s">
        <v>3736</v>
      </c>
      <c r="M51" s="165" t="s">
        <v>3753</v>
      </c>
      <c r="N51" s="165" t="s">
        <v>3738</v>
      </c>
      <c r="O51" s="165" t="s">
        <v>3773</v>
      </c>
      <c r="P51" s="165" t="s">
        <v>3740</v>
      </c>
      <c r="Q51" s="226" t="s">
        <v>3781</v>
      </c>
      <c r="R51" s="227" t="s">
        <v>3742</v>
      </c>
      <c r="S51" s="227">
        <v>3.5</v>
      </c>
      <c r="T51" s="227">
        <v>104</v>
      </c>
      <c r="U51" s="227">
        <v>88.4</v>
      </c>
      <c r="V51" s="227">
        <v>3</v>
      </c>
    </row>
    <row r="52" spans="2:22" ht="42" customHeight="1" x14ac:dyDescent="0.25">
      <c r="B52" s="80" t="s">
        <v>3885</v>
      </c>
      <c r="C52" s="204" t="s">
        <v>3947</v>
      </c>
      <c r="D52" s="166" t="s">
        <v>3948</v>
      </c>
      <c r="E52" s="80">
        <v>0</v>
      </c>
      <c r="F52" s="80">
        <v>0</v>
      </c>
      <c r="G52" s="80" t="s">
        <v>3732</v>
      </c>
      <c r="H52" s="166" t="s">
        <v>3949</v>
      </c>
      <c r="I52" s="166" t="s">
        <v>3950</v>
      </c>
      <c r="J52" s="166" t="s">
        <v>3951</v>
      </c>
      <c r="K52" s="166" t="s">
        <v>3752</v>
      </c>
      <c r="L52" s="166" t="s">
        <v>3747</v>
      </c>
      <c r="M52" s="166" t="s">
        <v>3831</v>
      </c>
      <c r="N52" s="166" t="s">
        <v>3754</v>
      </c>
      <c r="O52" s="166" t="s">
        <v>3764</v>
      </c>
      <c r="P52" s="166" t="s">
        <v>3952</v>
      </c>
      <c r="Q52" s="166" t="s">
        <v>3755</v>
      </c>
      <c r="R52" s="227" t="s">
        <v>3742</v>
      </c>
      <c r="S52" s="227">
        <v>7.5</v>
      </c>
      <c r="T52" s="227">
        <v>95</v>
      </c>
      <c r="U52" s="227">
        <v>80.8</v>
      </c>
      <c r="V52" s="227">
        <v>6.4</v>
      </c>
    </row>
    <row r="53" spans="2:22" ht="42" customHeight="1" x14ac:dyDescent="0.25">
      <c r="B53" s="72" t="s">
        <v>3885</v>
      </c>
      <c r="C53" s="201" t="s">
        <v>3953</v>
      </c>
      <c r="D53" s="165" t="s">
        <v>3954</v>
      </c>
      <c r="E53" s="72">
        <v>0</v>
      </c>
      <c r="F53" s="72">
        <v>0</v>
      </c>
      <c r="G53" s="72" t="s">
        <v>3732</v>
      </c>
      <c r="H53" s="165" t="s">
        <v>3949</v>
      </c>
      <c r="I53" s="165" t="s">
        <v>3955</v>
      </c>
      <c r="J53" s="165" t="s">
        <v>3956</v>
      </c>
      <c r="K53" s="165" t="s">
        <v>3752</v>
      </c>
      <c r="L53" s="165" t="s">
        <v>3747</v>
      </c>
      <c r="M53" s="165" t="s">
        <v>3831</v>
      </c>
      <c r="N53" s="165" t="s">
        <v>3754</v>
      </c>
      <c r="O53" s="165" t="s">
        <v>3764</v>
      </c>
      <c r="P53" s="165" t="s">
        <v>3952</v>
      </c>
      <c r="Q53" s="165" t="s">
        <v>3755</v>
      </c>
      <c r="R53" s="227" t="s">
        <v>3742</v>
      </c>
      <c r="S53" s="227">
        <v>6.5</v>
      </c>
      <c r="T53" s="227">
        <v>72</v>
      </c>
      <c r="U53" s="227">
        <v>61.2</v>
      </c>
      <c r="V53" s="227">
        <v>5.5</v>
      </c>
    </row>
    <row r="54" spans="2:22" ht="42" customHeight="1" x14ac:dyDescent="0.25">
      <c r="B54" s="80" t="s">
        <v>3885</v>
      </c>
      <c r="C54" s="204" t="s">
        <v>3957</v>
      </c>
      <c r="D54" s="166" t="s">
        <v>3958</v>
      </c>
      <c r="E54" s="80">
        <v>0</v>
      </c>
      <c r="F54" s="80">
        <v>0</v>
      </c>
      <c r="G54" s="80" t="s">
        <v>3732</v>
      </c>
      <c r="H54" s="166" t="s">
        <v>3949</v>
      </c>
      <c r="I54" s="166" t="s">
        <v>3959</v>
      </c>
      <c r="J54" s="166" t="s">
        <v>3960</v>
      </c>
      <c r="K54" s="166" t="s">
        <v>3752</v>
      </c>
      <c r="L54" s="166" t="s">
        <v>3747</v>
      </c>
      <c r="M54" s="166" t="s">
        <v>3831</v>
      </c>
      <c r="N54" s="166" t="s">
        <v>3754</v>
      </c>
      <c r="O54" s="166" t="s">
        <v>3764</v>
      </c>
      <c r="P54" s="166" t="s">
        <v>3952</v>
      </c>
      <c r="Q54" s="166" t="s">
        <v>3755</v>
      </c>
      <c r="R54" s="227" t="s">
        <v>3742</v>
      </c>
      <c r="S54" s="227">
        <v>6.2</v>
      </c>
      <c r="T54" s="227">
        <v>66</v>
      </c>
      <c r="U54" s="227">
        <v>56.1</v>
      </c>
      <c r="V54" s="227">
        <v>5.3</v>
      </c>
    </row>
    <row r="55" spans="2:22" ht="42" customHeight="1" x14ac:dyDescent="0.25">
      <c r="B55" s="72" t="s">
        <v>3885</v>
      </c>
      <c r="C55" s="201" t="s">
        <v>3961</v>
      </c>
      <c r="D55" s="165" t="s">
        <v>3962</v>
      </c>
      <c r="E55" s="72">
        <v>0</v>
      </c>
      <c r="F55" s="72">
        <v>0</v>
      </c>
      <c r="G55" s="72" t="s">
        <v>3732</v>
      </c>
      <c r="H55" s="165" t="s">
        <v>3949</v>
      </c>
      <c r="I55" s="165" t="s">
        <v>3963</v>
      </c>
      <c r="J55" s="165" t="s">
        <v>3964</v>
      </c>
      <c r="K55" s="165" t="s">
        <v>3752</v>
      </c>
      <c r="L55" s="165" t="s">
        <v>3747</v>
      </c>
      <c r="M55" s="165" t="s">
        <v>3831</v>
      </c>
      <c r="N55" s="165" t="s">
        <v>3754</v>
      </c>
      <c r="O55" s="165" t="s">
        <v>3764</v>
      </c>
      <c r="P55" s="165" t="s">
        <v>3952</v>
      </c>
      <c r="Q55" s="165" t="s">
        <v>3755</v>
      </c>
      <c r="R55" s="227" t="s">
        <v>3742</v>
      </c>
      <c r="S55" s="227">
        <v>6</v>
      </c>
      <c r="T55" s="227">
        <v>58</v>
      </c>
      <c r="U55" s="227">
        <v>49.3</v>
      </c>
      <c r="V55" s="227">
        <v>5.0999999999999996</v>
      </c>
    </row>
    <row r="56" spans="2:22" ht="42" customHeight="1" x14ac:dyDescent="0.25">
      <c r="B56" s="80" t="s">
        <v>3885</v>
      </c>
      <c r="C56" s="204" t="s">
        <v>2090</v>
      </c>
      <c r="D56" s="166" t="s">
        <v>3965</v>
      </c>
      <c r="E56" s="80">
        <v>0</v>
      </c>
      <c r="F56" s="80">
        <v>0</v>
      </c>
      <c r="G56" s="80" t="s">
        <v>3732</v>
      </c>
      <c r="H56" s="166" t="s">
        <v>3855</v>
      </c>
      <c r="I56" s="166" t="s">
        <v>3966</v>
      </c>
      <c r="J56" s="166" t="s">
        <v>3967</v>
      </c>
      <c r="K56" s="166" t="s">
        <v>3735</v>
      </c>
      <c r="L56" s="166" t="s">
        <v>3763</v>
      </c>
      <c r="M56" s="166" t="s">
        <v>3753</v>
      </c>
      <c r="N56" s="166" t="s">
        <v>3754</v>
      </c>
      <c r="O56" s="166" t="s">
        <v>3739</v>
      </c>
      <c r="P56" s="166" t="s">
        <v>3952</v>
      </c>
      <c r="Q56" s="166" t="s">
        <v>3755</v>
      </c>
      <c r="R56" s="227" t="s">
        <v>3742</v>
      </c>
      <c r="S56" s="227">
        <v>6.2</v>
      </c>
      <c r="T56" s="227">
        <v>52.5</v>
      </c>
      <c r="U56" s="227">
        <v>44.6</v>
      </c>
      <c r="V56" s="227">
        <v>5.3</v>
      </c>
    </row>
    <row r="57" spans="2:22" ht="42" customHeight="1" x14ac:dyDescent="0.25">
      <c r="B57" s="72" t="s">
        <v>3885</v>
      </c>
      <c r="C57" s="201" t="s">
        <v>1981</v>
      </c>
      <c r="D57" s="165" t="s">
        <v>3968</v>
      </c>
      <c r="E57" s="72">
        <v>0</v>
      </c>
      <c r="F57" s="72">
        <v>0</v>
      </c>
      <c r="G57" s="72" t="s">
        <v>3732</v>
      </c>
      <c r="H57" s="165" t="s">
        <v>3800</v>
      </c>
      <c r="I57" s="165" t="s">
        <v>3969</v>
      </c>
      <c r="J57" s="165" t="s">
        <v>3970</v>
      </c>
      <c r="K57" s="165" t="s">
        <v>3752</v>
      </c>
      <c r="L57" s="165" t="s">
        <v>3747</v>
      </c>
      <c r="M57" s="165" t="s">
        <v>3831</v>
      </c>
      <c r="N57" s="165" t="s">
        <v>3840</v>
      </c>
      <c r="O57" s="165" t="s">
        <v>3764</v>
      </c>
      <c r="P57" s="165" t="s">
        <v>3952</v>
      </c>
      <c r="Q57" s="165" t="s">
        <v>3755</v>
      </c>
      <c r="R57" s="227" t="s">
        <v>3742</v>
      </c>
      <c r="S57" s="227">
        <v>6</v>
      </c>
      <c r="T57" s="227">
        <v>47</v>
      </c>
      <c r="U57" s="227">
        <v>39.9</v>
      </c>
      <c r="V57" s="227">
        <v>5.0999999999999996</v>
      </c>
    </row>
    <row r="58" spans="2:22" ht="42" customHeight="1" x14ac:dyDescent="0.25">
      <c r="B58" s="80" t="s">
        <v>3885</v>
      </c>
      <c r="C58" s="204" t="s">
        <v>3971</v>
      </c>
      <c r="D58" s="166" t="s">
        <v>3972</v>
      </c>
      <c r="E58" s="80">
        <v>0</v>
      </c>
      <c r="F58" s="80">
        <v>0</v>
      </c>
      <c r="G58" s="80" t="s">
        <v>3732</v>
      </c>
      <c r="H58" s="166" t="s">
        <v>3915</v>
      </c>
      <c r="I58" s="166" t="s">
        <v>3973</v>
      </c>
      <c r="J58" s="166" t="s">
        <v>3974</v>
      </c>
      <c r="K58" s="166" t="s">
        <v>3752</v>
      </c>
      <c r="L58" s="166" t="s">
        <v>3747</v>
      </c>
      <c r="M58" s="166" t="s">
        <v>3831</v>
      </c>
      <c r="N58" s="166" t="s">
        <v>3754</v>
      </c>
      <c r="O58" s="166" t="s">
        <v>3739</v>
      </c>
      <c r="P58" s="166" t="s">
        <v>3952</v>
      </c>
      <c r="Q58" s="166" t="s">
        <v>3755</v>
      </c>
      <c r="R58" s="227" t="s">
        <v>3742</v>
      </c>
      <c r="S58" s="227">
        <v>5.8</v>
      </c>
      <c r="T58" s="227">
        <v>41</v>
      </c>
      <c r="U58" s="227">
        <v>34.9</v>
      </c>
      <c r="V58" s="227">
        <v>4.9000000000000004</v>
      </c>
    </row>
    <row r="59" spans="2:22" ht="42" customHeight="1" x14ac:dyDescent="0.25">
      <c r="B59" s="72" t="s">
        <v>3885</v>
      </c>
      <c r="C59" s="201" t="s">
        <v>3975</v>
      </c>
      <c r="D59" s="165" t="s">
        <v>3976</v>
      </c>
      <c r="E59" s="72">
        <v>0</v>
      </c>
      <c r="F59" s="72">
        <v>0</v>
      </c>
      <c r="G59" s="72" t="s">
        <v>3732</v>
      </c>
      <c r="H59" s="165" t="s">
        <v>3855</v>
      </c>
      <c r="I59" s="165" t="s">
        <v>3977</v>
      </c>
      <c r="J59" s="165" t="s">
        <v>3978</v>
      </c>
      <c r="K59" s="165" t="s">
        <v>3752</v>
      </c>
      <c r="L59" s="165" t="s">
        <v>3747</v>
      </c>
      <c r="M59" s="165" t="s">
        <v>3831</v>
      </c>
      <c r="N59" s="165" t="s">
        <v>3754</v>
      </c>
      <c r="O59" s="165" t="s">
        <v>3739</v>
      </c>
      <c r="P59" s="165" t="s">
        <v>3952</v>
      </c>
      <c r="Q59" s="165" t="s">
        <v>3755</v>
      </c>
      <c r="R59" s="227" t="s">
        <v>3742</v>
      </c>
      <c r="S59" s="227">
        <v>5.6</v>
      </c>
      <c r="T59" s="227">
        <v>36</v>
      </c>
      <c r="U59" s="227">
        <v>30.6</v>
      </c>
      <c r="V59" s="227">
        <v>4.8</v>
      </c>
    </row>
    <row r="60" spans="2:22" ht="42" customHeight="1" x14ac:dyDescent="0.25">
      <c r="B60" s="80" t="s">
        <v>3885</v>
      </c>
      <c r="C60" s="204" t="s">
        <v>3979</v>
      </c>
      <c r="D60" s="166" t="s">
        <v>3980</v>
      </c>
      <c r="E60" s="80">
        <v>0</v>
      </c>
      <c r="F60" s="80">
        <v>0</v>
      </c>
      <c r="G60" s="80" t="s">
        <v>3732</v>
      </c>
      <c r="H60" s="166" t="s">
        <v>3915</v>
      </c>
      <c r="I60" s="166" t="s">
        <v>3981</v>
      </c>
      <c r="J60" s="166" t="s">
        <v>3830</v>
      </c>
      <c r="K60" s="166" t="s">
        <v>3752</v>
      </c>
      <c r="L60" s="166" t="s">
        <v>3747</v>
      </c>
      <c r="M60" s="166" t="s">
        <v>3831</v>
      </c>
      <c r="N60" s="166" t="s">
        <v>3754</v>
      </c>
      <c r="O60" s="166" t="s">
        <v>3739</v>
      </c>
      <c r="P60" s="166" t="s">
        <v>3952</v>
      </c>
      <c r="Q60" s="166" t="s">
        <v>3755</v>
      </c>
      <c r="R60" s="227" t="s">
        <v>3742</v>
      </c>
      <c r="S60" s="227">
        <v>5.4</v>
      </c>
      <c r="T60" s="227">
        <v>31</v>
      </c>
      <c r="U60" s="227">
        <v>26.3</v>
      </c>
      <c r="V60" s="227">
        <v>4.5999999999999996</v>
      </c>
    </row>
    <row r="61" spans="2:22" ht="42" customHeight="1" x14ac:dyDescent="0.25">
      <c r="B61" s="72" t="s">
        <v>3885</v>
      </c>
      <c r="C61" s="201" t="s">
        <v>1885</v>
      </c>
      <c r="D61" s="165" t="s">
        <v>3982</v>
      </c>
      <c r="E61" s="72">
        <v>0</v>
      </c>
      <c r="F61" s="72">
        <v>0</v>
      </c>
      <c r="G61" s="72" t="s">
        <v>3732</v>
      </c>
      <c r="H61" s="165" t="s">
        <v>3983</v>
      </c>
      <c r="I61" s="165" t="s">
        <v>3984</v>
      </c>
      <c r="J61" s="165" t="s">
        <v>3985</v>
      </c>
      <c r="K61" s="165" t="s">
        <v>3752</v>
      </c>
      <c r="L61" s="165" t="s">
        <v>3747</v>
      </c>
      <c r="M61" s="165" t="s">
        <v>3831</v>
      </c>
      <c r="N61" s="165" t="s">
        <v>3754</v>
      </c>
      <c r="O61" s="165" t="s">
        <v>3764</v>
      </c>
      <c r="P61" s="165" t="s">
        <v>3952</v>
      </c>
      <c r="Q61" s="165" t="s">
        <v>3755</v>
      </c>
      <c r="R61" s="227" t="s">
        <v>3742</v>
      </c>
      <c r="S61" s="227">
        <v>5.2</v>
      </c>
      <c r="T61" s="227">
        <v>27</v>
      </c>
      <c r="U61" s="227">
        <v>22.9</v>
      </c>
      <c r="V61" s="227">
        <v>4.4000000000000004</v>
      </c>
    </row>
    <row r="62" spans="2:22" ht="42" customHeight="1" x14ac:dyDescent="0.25">
      <c r="B62" s="80" t="s">
        <v>3885</v>
      </c>
      <c r="C62" s="204" t="s">
        <v>3986</v>
      </c>
      <c r="D62" s="166" t="s">
        <v>3987</v>
      </c>
      <c r="E62" s="80">
        <v>0</v>
      </c>
      <c r="F62" s="80">
        <v>0</v>
      </c>
      <c r="G62" s="80" t="s">
        <v>3732</v>
      </c>
      <c r="H62" s="166" t="s">
        <v>3983</v>
      </c>
      <c r="I62" s="166" t="s">
        <v>3988</v>
      </c>
      <c r="J62" s="166" t="s">
        <v>3989</v>
      </c>
      <c r="K62" s="166" t="s">
        <v>3735</v>
      </c>
      <c r="L62" s="166" t="s">
        <v>3763</v>
      </c>
      <c r="M62" s="166" t="s">
        <v>3780</v>
      </c>
      <c r="N62" s="166" t="s">
        <v>3754</v>
      </c>
      <c r="O62" s="166" t="s">
        <v>3739</v>
      </c>
      <c r="P62" s="166" t="s">
        <v>3952</v>
      </c>
      <c r="Q62" s="166" t="s">
        <v>3755</v>
      </c>
      <c r="R62" s="227" t="s">
        <v>3742</v>
      </c>
      <c r="S62" s="227">
        <v>4.2</v>
      </c>
      <c r="T62" s="227">
        <v>11</v>
      </c>
      <c r="U62" s="227">
        <v>9.3000000000000007</v>
      </c>
      <c r="V62" s="227">
        <v>3.6</v>
      </c>
    </row>
    <row r="63" spans="2:22" ht="42" customHeight="1" x14ac:dyDescent="0.25">
      <c r="B63" s="72" t="s">
        <v>3885</v>
      </c>
      <c r="C63" s="201" t="s">
        <v>3990</v>
      </c>
      <c r="D63" s="165" t="s">
        <v>3991</v>
      </c>
      <c r="E63" s="72">
        <v>0</v>
      </c>
      <c r="F63" s="72">
        <v>0</v>
      </c>
      <c r="G63" s="72" t="s">
        <v>3732</v>
      </c>
      <c r="H63" s="165" t="s">
        <v>3983</v>
      </c>
      <c r="I63" s="165" t="s">
        <v>3992</v>
      </c>
      <c r="J63" s="165" t="s">
        <v>3993</v>
      </c>
      <c r="K63" s="165" t="s">
        <v>3778</v>
      </c>
      <c r="L63" s="165" t="s">
        <v>3763</v>
      </c>
      <c r="M63" s="165" t="s">
        <v>3780</v>
      </c>
      <c r="N63" s="165" t="s">
        <v>3754</v>
      </c>
      <c r="O63" s="165" t="s">
        <v>3773</v>
      </c>
      <c r="P63" s="165" t="s">
        <v>3952</v>
      </c>
      <c r="Q63" s="226" t="s">
        <v>3781</v>
      </c>
      <c r="R63" s="227" t="s">
        <v>3742</v>
      </c>
      <c r="S63" s="227">
        <v>4</v>
      </c>
      <c r="T63" s="227">
        <v>7</v>
      </c>
      <c r="U63" s="227">
        <v>6</v>
      </c>
      <c r="V63" s="227">
        <v>3.4</v>
      </c>
    </row>
    <row r="64" spans="2:22" ht="42" customHeight="1" x14ac:dyDescent="0.25">
      <c r="B64" s="80" t="s">
        <v>3885</v>
      </c>
      <c r="C64" s="204" t="s">
        <v>3994</v>
      </c>
      <c r="D64" s="166" t="s">
        <v>3995</v>
      </c>
      <c r="E64" s="80">
        <v>0</v>
      </c>
      <c r="F64" s="80">
        <v>0</v>
      </c>
      <c r="G64" s="80" t="s">
        <v>3732</v>
      </c>
      <c r="H64" s="166" t="s">
        <v>3800</v>
      </c>
      <c r="I64" s="166" t="s">
        <v>3996</v>
      </c>
      <c r="J64" s="166" t="s">
        <v>3997</v>
      </c>
      <c r="K64" s="166" t="s">
        <v>3735</v>
      </c>
      <c r="L64" s="166" t="s">
        <v>3763</v>
      </c>
      <c r="M64" s="166" t="s">
        <v>3780</v>
      </c>
      <c r="N64" s="166" t="s">
        <v>3790</v>
      </c>
      <c r="O64" s="166" t="s">
        <v>3773</v>
      </c>
      <c r="P64" s="166" t="s">
        <v>3952</v>
      </c>
      <c r="Q64" s="166" t="s">
        <v>3755</v>
      </c>
      <c r="R64" s="227" t="s">
        <v>3742</v>
      </c>
      <c r="S64" s="227">
        <v>4.4000000000000004</v>
      </c>
      <c r="T64" s="227">
        <v>3</v>
      </c>
      <c r="U64" s="227">
        <v>2.5</v>
      </c>
      <c r="V64" s="227">
        <v>3.7</v>
      </c>
    </row>
    <row r="65" spans="2:22" ht="42" customHeight="1" x14ac:dyDescent="0.25">
      <c r="B65" s="72" t="s">
        <v>3885</v>
      </c>
      <c r="C65" s="201" t="s">
        <v>3998</v>
      </c>
      <c r="D65" s="165" t="s">
        <v>3999</v>
      </c>
      <c r="E65" s="72">
        <v>0</v>
      </c>
      <c r="F65" s="72">
        <v>0</v>
      </c>
      <c r="G65" s="72" t="s">
        <v>3732</v>
      </c>
      <c r="H65" s="165" t="s">
        <v>3800</v>
      </c>
      <c r="I65" s="165" t="s">
        <v>4000</v>
      </c>
      <c r="J65" s="165" t="s">
        <v>4001</v>
      </c>
      <c r="K65" s="165" t="s">
        <v>3778</v>
      </c>
      <c r="L65" s="165" t="s">
        <v>3779</v>
      </c>
      <c r="M65" s="165" t="s">
        <v>3795</v>
      </c>
      <c r="N65" s="165" t="s">
        <v>3790</v>
      </c>
      <c r="O65" s="165" t="s">
        <v>3773</v>
      </c>
      <c r="P65" s="165" t="s">
        <v>3952</v>
      </c>
      <c r="Q65" s="165" t="s">
        <v>3755</v>
      </c>
      <c r="R65" s="227" t="s">
        <v>3742</v>
      </c>
      <c r="S65" s="227">
        <v>5</v>
      </c>
      <c r="T65" s="227">
        <v>1.5</v>
      </c>
      <c r="U65" s="227">
        <v>1.3</v>
      </c>
      <c r="V65" s="227">
        <v>4.2</v>
      </c>
    </row>
    <row r="66" spans="2:22" ht="18" customHeight="1" x14ac:dyDescent="0.25">
      <c r="B66" s="374" t="s">
        <v>4002</v>
      </c>
      <c r="C66" s="374"/>
      <c r="D66" s="374"/>
      <c r="E66" s="374"/>
      <c r="F66" s="374"/>
      <c r="G66" s="374"/>
      <c r="H66" s="374"/>
      <c r="I66" s="374"/>
      <c r="J66" s="374"/>
      <c r="K66" s="374"/>
      <c r="L66" s="374"/>
      <c r="M66" s="374"/>
      <c r="N66" s="374"/>
      <c r="O66" s="374"/>
      <c r="P66" s="374"/>
      <c r="Q66" s="374"/>
    </row>
    <row r="67" spans="2:22" ht="42" customHeight="1" x14ac:dyDescent="0.25">
      <c r="B67" s="72" t="s">
        <v>4003</v>
      </c>
      <c r="C67" s="201" t="s">
        <v>4004</v>
      </c>
      <c r="D67" s="165" t="s">
        <v>4005</v>
      </c>
      <c r="E67" s="72">
        <v>0</v>
      </c>
      <c r="F67" s="72">
        <v>0</v>
      </c>
      <c r="G67" s="72" t="s">
        <v>3732</v>
      </c>
      <c r="H67" s="165" t="s">
        <v>3936</v>
      </c>
      <c r="I67" s="165" t="s">
        <v>4006</v>
      </c>
      <c r="J67" s="165" t="s">
        <v>4007</v>
      </c>
      <c r="K67" s="165" t="s">
        <v>3778</v>
      </c>
      <c r="L67" s="165" t="s">
        <v>3779</v>
      </c>
      <c r="M67" s="165" t="s">
        <v>3795</v>
      </c>
      <c r="N67" s="165" t="s">
        <v>3840</v>
      </c>
      <c r="O67" s="165" t="s">
        <v>3773</v>
      </c>
      <c r="P67" s="165" t="s">
        <v>3952</v>
      </c>
      <c r="Q67" s="165" t="s">
        <v>3755</v>
      </c>
      <c r="R67" s="227" t="s">
        <v>3742</v>
      </c>
      <c r="S67" s="227">
        <v>2</v>
      </c>
      <c r="T67" s="227">
        <v>1.5</v>
      </c>
      <c r="U67" s="227">
        <v>1.3</v>
      </c>
      <c r="V67" s="227">
        <v>1.7</v>
      </c>
    </row>
    <row r="68" spans="2:22" ht="42" customHeight="1" x14ac:dyDescent="0.25">
      <c r="B68" s="80" t="s">
        <v>4003</v>
      </c>
      <c r="C68" s="204" t="s">
        <v>4008</v>
      </c>
      <c r="D68" s="166" t="s">
        <v>4009</v>
      </c>
      <c r="E68" s="80">
        <v>0</v>
      </c>
      <c r="F68" s="80">
        <v>0</v>
      </c>
      <c r="G68" s="80" t="s">
        <v>3732</v>
      </c>
      <c r="H68" s="166" t="s">
        <v>3936</v>
      </c>
      <c r="I68" s="166" t="s">
        <v>4010</v>
      </c>
      <c r="J68" s="166" t="s">
        <v>4011</v>
      </c>
      <c r="K68" s="166" t="s">
        <v>3735</v>
      </c>
      <c r="L68" s="166" t="s">
        <v>3763</v>
      </c>
      <c r="M68" s="166" t="s">
        <v>3780</v>
      </c>
      <c r="N68" s="166" t="s">
        <v>3754</v>
      </c>
      <c r="O68" s="166" t="s">
        <v>3773</v>
      </c>
      <c r="P68" s="166" t="s">
        <v>3952</v>
      </c>
      <c r="Q68" s="166" t="s">
        <v>3755</v>
      </c>
      <c r="R68" s="227" t="s">
        <v>3742</v>
      </c>
      <c r="S68" s="227">
        <v>2.2000000000000002</v>
      </c>
      <c r="T68" s="227">
        <v>4</v>
      </c>
      <c r="U68" s="227">
        <v>3.4</v>
      </c>
      <c r="V68" s="227">
        <v>1.9</v>
      </c>
    </row>
    <row r="69" spans="2:22" ht="42" customHeight="1" x14ac:dyDescent="0.25">
      <c r="B69" s="72" t="s">
        <v>4003</v>
      </c>
      <c r="C69" s="201" t="s">
        <v>4012</v>
      </c>
      <c r="D69" s="165" t="s">
        <v>4013</v>
      </c>
      <c r="E69" s="72">
        <v>0</v>
      </c>
      <c r="F69" s="72">
        <v>0</v>
      </c>
      <c r="G69" s="72" t="s">
        <v>3732</v>
      </c>
      <c r="H69" s="165" t="s">
        <v>3936</v>
      </c>
      <c r="I69" s="165" t="s">
        <v>4014</v>
      </c>
      <c r="J69" s="165" t="s">
        <v>4015</v>
      </c>
      <c r="K69" s="165" t="s">
        <v>3735</v>
      </c>
      <c r="L69" s="165" t="s">
        <v>3763</v>
      </c>
      <c r="M69" s="165" t="s">
        <v>3780</v>
      </c>
      <c r="N69" s="165" t="s">
        <v>3840</v>
      </c>
      <c r="O69" s="165" t="s">
        <v>3773</v>
      </c>
      <c r="P69" s="165" t="s">
        <v>3952</v>
      </c>
      <c r="Q69" s="165" t="s">
        <v>3755</v>
      </c>
      <c r="R69" s="227" t="s">
        <v>3742</v>
      </c>
      <c r="S69" s="227">
        <v>2.4</v>
      </c>
      <c r="T69" s="227">
        <v>6</v>
      </c>
      <c r="U69" s="227">
        <v>5.0999999999999996</v>
      </c>
      <c r="V69" s="227">
        <v>2</v>
      </c>
    </row>
    <row r="70" spans="2:22" ht="42" customHeight="1" x14ac:dyDescent="0.25">
      <c r="B70" s="80" t="s">
        <v>4003</v>
      </c>
      <c r="C70" s="204" t="s">
        <v>1778</v>
      </c>
      <c r="D70" s="166" t="s">
        <v>4016</v>
      </c>
      <c r="E70" s="80">
        <v>0</v>
      </c>
      <c r="F70" s="80">
        <v>0</v>
      </c>
      <c r="G70" s="80" t="s">
        <v>3732</v>
      </c>
      <c r="H70" s="166" t="s">
        <v>3983</v>
      </c>
      <c r="I70" s="166" t="s">
        <v>4017</v>
      </c>
      <c r="J70" s="166" t="s">
        <v>4018</v>
      </c>
      <c r="K70" s="166" t="s">
        <v>3752</v>
      </c>
      <c r="L70" s="166" t="s">
        <v>3747</v>
      </c>
      <c r="M70" s="166" t="s">
        <v>3753</v>
      </c>
      <c r="N70" s="166" t="s">
        <v>3754</v>
      </c>
      <c r="O70" s="166" t="s">
        <v>3739</v>
      </c>
      <c r="P70" s="166" t="s">
        <v>3952</v>
      </c>
      <c r="Q70" s="166" t="s">
        <v>3755</v>
      </c>
      <c r="R70" s="227" t="s">
        <v>3742</v>
      </c>
      <c r="S70" s="227">
        <v>2.6</v>
      </c>
      <c r="T70" s="227">
        <v>8</v>
      </c>
      <c r="U70" s="227">
        <v>6.8</v>
      </c>
      <c r="V70" s="227">
        <v>2.2000000000000002</v>
      </c>
    </row>
    <row r="71" spans="2:22" ht="42" customHeight="1" x14ac:dyDescent="0.25">
      <c r="B71" s="72" t="s">
        <v>4003</v>
      </c>
      <c r="C71" s="201" t="s">
        <v>4019</v>
      </c>
      <c r="D71" s="165" t="s">
        <v>4020</v>
      </c>
      <c r="E71" s="72">
        <v>0</v>
      </c>
      <c r="F71" s="72">
        <v>0</v>
      </c>
      <c r="G71" s="72" t="s">
        <v>3732</v>
      </c>
      <c r="H71" s="165" t="s">
        <v>3983</v>
      </c>
      <c r="I71" s="165" t="s">
        <v>4021</v>
      </c>
      <c r="J71" s="165" t="s">
        <v>4022</v>
      </c>
      <c r="K71" s="165" t="s">
        <v>3735</v>
      </c>
      <c r="L71" s="165" t="s">
        <v>3763</v>
      </c>
      <c r="M71" s="165" t="s">
        <v>3780</v>
      </c>
      <c r="N71" s="165" t="s">
        <v>3754</v>
      </c>
      <c r="O71" s="165" t="s">
        <v>3739</v>
      </c>
      <c r="P71" s="165" t="s">
        <v>3952</v>
      </c>
      <c r="Q71" s="165" t="s">
        <v>3755</v>
      </c>
      <c r="R71" s="227" t="s">
        <v>3742</v>
      </c>
      <c r="S71" s="227">
        <v>2.8</v>
      </c>
      <c r="T71" s="227">
        <v>11</v>
      </c>
      <c r="U71" s="227">
        <v>9.3000000000000007</v>
      </c>
      <c r="V71" s="227">
        <v>2.4</v>
      </c>
    </row>
    <row r="72" spans="2:22" ht="42" customHeight="1" x14ac:dyDescent="0.25">
      <c r="B72" s="80" t="s">
        <v>4003</v>
      </c>
      <c r="C72" s="204" t="s">
        <v>1644</v>
      </c>
      <c r="D72" s="166" t="s">
        <v>4023</v>
      </c>
      <c r="E72" s="80">
        <v>0</v>
      </c>
      <c r="F72" s="80">
        <v>0</v>
      </c>
      <c r="G72" s="80" t="s">
        <v>3732</v>
      </c>
      <c r="H72" s="166" t="s">
        <v>4024</v>
      </c>
      <c r="I72" s="166" t="s">
        <v>4025</v>
      </c>
      <c r="J72" s="166" t="s">
        <v>4026</v>
      </c>
      <c r="K72" s="166" t="s">
        <v>3752</v>
      </c>
      <c r="L72" s="166" t="s">
        <v>3747</v>
      </c>
      <c r="M72" s="166" t="s">
        <v>3831</v>
      </c>
      <c r="N72" s="166" t="s">
        <v>3754</v>
      </c>
      <c r="O72" s="166" t="s">
        <v>3764</v>
      </c>
      <c r="P72" s="166" t="s">
        <v>3952</v>
      </c>
      <c r="Q72" s="226" t="s">
        <v>3814</v>
      </c>
      <c r="R72" s="227" t="s">
        <v>3742</v>
      </c>
      <c r="S72" s="227">
        <v>2.6</v>
      </c>
      <c r="T72" s="227">
        <v>20</v>
      </c>
      <c r="U72" s="227">
        <v>17</v>
      </c>
      <c r="V72" s="227">
        <v>2.2000000000000002</v>
      </c>
    </row>
    <row r="73" spans="2:22" ht="42" customHeight="1" x14ac:dyDescent="0.25">
      <c r="B73" s="72" t="s">
        <v>4003</v>
      </c>
      <c r="C73" s="201" t="s">
        <v>4027</v>
      </c>
      <c r="D73" s="165" t="s">
        <v>4028</v>
      </c>
      <c r="E73" s="72">
        <v>0</v>
      </c>
      <c r="F73" s="72">
        <v>0</v>
      </c>
      <c r="G73" s="72" t="s">
        <v>3732</v>
      </c>
      <c r="H73" s="165" t="s">
        <v>3983</v>
      </c>
      <c r="I73" s="165" t="s">
        <v>4029</v>
      </c>
      <c r="J73" s="165" t="s">
        <v>4030</v>
      </c>
      <c r="K73" s="165" t="s">
        <v>3752</v>
      </c>
      <c r="L73" s="165" t="s">
        <v>3747</v>
      </c>
      <c r="M73" s="165" t="s">
        <v>3753</v>
      </c>
      <c r="N73" s="165" t="s">
        <v>3754</v>
      </c>
      <c r="O73" s="165" t="s">
        <v>3739</v>
      </c>
      <c r="P73" s="165" t="s">
        <v>3952</v>
      </c>
      <c r="Q73" s="165" t="s">
        <v>3755</v>
      </c>
      <c r="R73" s="227" t="s">
        <v>3742</v>
      </c>
      <c r="S73" s="227">
        <v>2.7</v>
      </c>
      <c r="T73" s="227">
        <v>26</v>
      </c>
      <c r="U73" s="227">
        <v>22.1</v>
      </c>
      <c r="V73" s="227">
        <v>2.2999999999999998</v>
      </c>
    </row>
    <row r="74" spans="2:22" ht="42" customHeight="1" x14ac:dyDescent="0.25">
      <c r="B74" s="80" t="s">
        <v>4003</v>
      </c>
      <c r="C74" s="204" t="s">
        <v>4031</v>
      </c>
      <c r="D74" s="166" t="s">
        <v>4032</v>
      </c>
      <c r="E74" s="80">
        <v>0</v>
      </c>
      <c r="F74" s="80">
        <v>0</v>
      </c>
      <c r="G74" s="80" t="s">
        <v>3732</v>
      </c>
      <c r="H74" s="166" t="s">
        <v>3936</v>
      </c>
      <c r="I74" s="166" t="s">
        <v>4033</v>
      </c>
      <c r="J74" s="166" t="s">
        <v>4034</v>
      </c>
      <c r="K74" s="166" t="s">
        <v>3752</v>
      </c>
      <c r="L74" s="166" t="s">
        <v>3747</v>
      </c>
      <c r="M74" s="166" t="s">
        <v>3831</v>
      </c>
      <c r="N74" s="166" t="s">
        <v>3754</v>
      </c>
      <c r="O74" s="166" t="s">
        <v>3739</v>
      </c>
      <c r="P74" s="166" t="s">
        <v>3952</v>
      </c>
      <c r="Q74" s="166" t="s">
        <v>3755</v>
      </c>
      <c r="R74" s="227" t="s">
        <v>3742</v>
      </c>
      <c r="S74" s="227">
        <v>2.8</v>
      </c>
      <c r="T74" s="227">
        <v>33</v>
      </c>
      <c r="U74" s="227">
        <v>28.1</v>
      </c>
      <c r="V74" s="227">
        <v>2.4</v>
      </c>
    </row>
    <row r="75" spans="2:22" ht="42" customHeight="1" x14ac:dyDescent="0.25">
      <c r="B75" s="72" t="s">
        <v>4003</v>
      </c>
      <c r="C75" s="201" t="s">
        <v>1699</v>
      </c>
      <c r="D75" s="165" t="s">
        <v>4035</v>
      </c>
      <c r="E75" s="72">
        <v>0</v>
      </c>
      <c r="F75" s="72">
        <v>0</v>
      </c>
      <c r="G75" s="72" t="s">
        <v>3732</v>
      </c>
      <c r="H75" s="165" t="s">
        <v>3983</v>
      </c>
      <c r="I75" s="165" t="s">
        <v>4036</v>
      </c>
      <c r="J75" s="165" t="s">
        <v>4037</v>
      </c>
      <c r="K75" s="165" t="s">
        <v>3752</v>
      </c>
      <c r="L75" s="165" t="s">
        <v>3747</v>
      </c>
      <c r="M75" s="165" t="s">
        <v>3831</v>
      </c>
      <c r="N75" s="165" t="s">
        <v>3754</v>
      </c>
      <c r="O75" s="165" t="s">
        <v>3764</v>
      </c>
      <c r="P75" s="165" t="s">
        <v>3952</v>
      </c>
      <c r="Q75" s="165" t="s">
        <v>3755</v>
      </c>
      <c r="R75" s="227" t="s">
        <v>3742</v>
      </c>
      <c r="S75" s="227">
        <v>3.2</v>
      </c>
      <c r="T75" s="227">
        <v>48</v>
      </c>
      <c r="U75" s="227">
        <v>40.799999999999997</v>
      </c>
      <c r="V75" s="227">
        <v>2.7</v>
      </c>
    </row>
    <row r="76" spans="2:22" ht="42" customHeight="1" x14ac:dyDescent="0.25">
      <c r="B76" s="80" t="s">
        <v>4003</v>
      </c>
      <c r="C76" s="204" t="s">
        <v>1653</v>
      </c>
      <c r="D76" s="166" t="s">
        <v>4038</v>
      </c>
      <c r="E76" s="80">
        <v>0</v>
      </c>
      <c r="F76" s="80">
        <v>0</v>
      </c>
      <c r="G76" s="80" t="s">
        <v>3732</v>
      </c>
      <c r="H76" s="166" t="s">
        <v>3842</v>
      </c>
      <c r="I76" s="166" t="s">
        <v>4039</v>
      </c>
      <c r="J76" s="166" t="s">
        <v>4040</v>
      </c>
      <c r="K76" s="166" t="s">
        <v>3752</v>
      </c>
      <c r="L76" s="166" t="s">
        <v>3747</v>
      </c>
      <c r="M76" s="166" t="s">
        <v>3831</v>
      </c>
      <c r="N76" s="166" t="s">
        <v>3754</v>
      </c>
      <c r="O76" s="166" t="s">
        <v>3764</v>
      </c>
      <c r="P76" s="166" t="s">
        <v>3952</v>
      </c>
      <c r="Q76" s="166" t="s">
        <v>3755</v>
      </c>
      <c r="R76" s="227" t="s">
        <v>3742</v>
      </c>
      <c r="S76" s="227">
        <v>4.5999999999999996</v>
      </c>
      <c r="T76" s="227">
        <v>58</v>
      </c>
      <c r="U76" s="227">
        <v>49.3</v>
      </c>
      <c r="V76" s="227">
        <v>3.9</v>
      </c>
    </row>
    <row r="77" spans="2:22" ht="42" customHeight="1" x14ac:dyDescent="0.25">
      <c r="B77" s="72" t="s">
        <v>4003</v>
      </c>
      <c r="C77" s="201" t="s">
        <v>4041</v>
      </c>
      <c r="D77" s="165" t="s">
        <v>4042</v>
      </c>
      <c r="E77" s="72">
        <v>0</v>
      </c>
      <c r="F77" s="72">
        <v>0</v>
      </c>
      <c r="G77" s="72" t="s">
        <v>3732</v>
      </c>
      <c r="H77" s="165" t="s">
        <v>3936</v>
      </c>
      <c r="I77" s="165" t="s">
        <v>4043</v>
      </c>
      <c r="J77" s="165" t="s">
        <v>4044</v>
      </c>
      <c r="K77" s="165" t="s">
        <v>3778</v>
      </c>
      <c r="L77" s="165" t="s">
        <v>3736</v>
      </c>
      <c r="M77" s="165" t="s">
        <v>3753</v>
      </c>
      <c r="N77" s="165" t="s">
        <v>3738</v>
      </c>
      <c r="O77" s="165" t="s">
        <v>3739</v>
      </c>
      <c r="P77" s="165" t="s">
        <v>3952</v>
      </c>
      <c r="Q77" s="226" t="s">
        <v>3781</v>
      </c>
      <c r="R77" s="227" t="s">
        <v>3742</v>
      </c>
      <c r="S77" s="227">
        <v>4.5</v>
      </c>
      <c r="T77" s="227">
        <v>97</v>
      </c>
      <c r="U77" s="227">
        <v>82.5</v>
      </c>
      <c r="V77" s="227">
        <v>3.8</v>
      </c>
    </row>
    <row r="78" spans="2:22" ht="42" customHeight="1" x14ac:dyDescent="0.25">
      <c r="B78" s="80" t="s">
        <v>4003</v>
      </c>
      <c r="C78" s="204" t="s">
        <v>3433</v>
      </c>
      <c r="D78" s="166" t="s">
        <v>4045</v>
      </c>
      <c r="E78" s="80">
        <v>0</v>
      </c>
      <c r="F78" s="80">
        <v>0</v>
      </c>
      <c r="G78" s="80" t="s">
        <v>3732</v>
      </c>
      <c r="H78" s="166" t="s">
        <v>3915</v>
      </c>
      <c r="I78" s="166" t="s">
        <v>4046</v>
      </c>
      <c r="J78" s="166" t="s">
        <v>4047</v>
      </c>
      <c r="K78" s="166" t="s">
        <v>3735</v>
      </c>
      <c r="L78" s="166" t="s">
        <v>3747</v>
      </c>
      <c r="M78" s="166" t="s">
        <v>3930</v>
      </c>
      <c r="N78" s="166" t="s">
        <v>3754</v>
      </c>
      <c r="O78" s="166" t="s">
        <v>3739</v>
      </c>
      <c r="P78" s="166" t="s">
        <v>3740</v>
      </c>
      <c r="Q78" s="226" t="s">
        <v>3814</v>
      </c>
      <c r="R78" s="227" t="s">
        <v>3742</v>
      </c>
      <c r="S78" s="227">
        <v>4.5</v>
      </c>
      <c r="T78" s="227">
        <v>120</v>
      </c>
      <c r="U78" s="227">
        <v>102</v>
      </c>
      <c r="V78" s="227">
        <v>3.8</v>
      </c>
    </row>
    <row r="79" spans="2:22" ht="42" customHeight="1" x14ac:dyDescent="0.25">
      <c r="B79" s="72" t="s">
        <v>4003</v>
      </c>
      <c r="C79" s="201" t="s">
        <v>4048</v>
      </c>
      <c r="D79" s="165" t="s">
        <v>4049</v>
      </c>
      <c r="E79" s="72">
        <v>0</v>
      </c>
      <c r="F79" s="72">
        <v>0</v>
      </c>
      <c r="G79" s="72" t="s">
        <v>3732</v>
      </c>
      <c r="H79" s="165" t="s">
        <v>2348</v>
      </c>
      <c r="I79" s="165" t="s">
        <v>4050</v>
      </c>
      <c r="J79" s="165" t="s">
        <v>4051</v>
      </c>
      <c r="K79" s="165" t="s">
        <v>3735</v>
      </c>
      <c r="L79" s="165" t="s">
        <v>3747</v>
      </c>
      <c r="M79" s="165" t="s">
        <v>3737</v>
      </c>
      <c r="N79" s="165" t="s">
        <v>3738</v>
      </c>
      <c r="O79" s="165" t="s">
        <v>3739</v>
      </c>
      <c r="P79" s="165" t="s">
        <v>3740</v>
      </c>
      <c r="Q79" s="226" t="s">
        <v>3741</v>
      </c>
      <c r="R79" s="227" t="s">
        <v>3742</v>
      </c>
      <c r="S79" s="227">
        <v>11.5</v>
      </c>
      <c r="T79" s="227">
        <v>146</v>
      </c>
      <c r="U79" s="227">
        <v>124.1</v>
      </c>
      <c r="V79" s="227">
        <v>9.8000000000000007</v>
      </c>
    </row>
    <row r="80" spans="2:22" ht="18" customHeight="1" x14ac:dyDescent="0.25">
      <c r="B80" s="374" t="s">
        <v>4052</v>
      </c>
      <c r="C80" s="374"/>
      <c r="D80" s="374"/>
      <c r="E80" s="374"/>
      <c r="F80" s="374"/>
      <c r="G80" s="374"/>
      <c r="H80" s="374"/>
      <c r="I80" s="374"/>
      <c r="J80" s="374"/>
      <c r="K80" s="374"/>
      <c r="L80" s="374"/>
      <c r="M80" s="374"/>
      <c r="N80" s="374"/>
      <c r="O80" s="374"/>
      <c r="P80" s="374"/>
      <c r="Q80" s="374"/>
    </row>
    <row r="81" spans="2:22" ht="42" customHeight="1" x14ac:dyDescent="0.25">
      <c r="B81" s="72" t="s">
        <v>4053</v>
      </c>
      <c r="C81" s="201" t="s">
        <v>4054</v>
      </c>
      <c r="D81" s="165" t="s">
        <v>4055</v>
      </c>
      <c r="E81" s="72">
        <v>0</v>
      </c>
      <c r="F81" s="72">
        <v>0</v>
      </c>
      <c r="G81" s="72" t="s">
        <v>3732</v>
      </c>
      <c r="H81" s="165" t="s">
        <v>4024</v>
      </c>
      <c r="I81" s="165" t="s">
        <v>4056</v>
      </c>
      <c r="J81" s="165" t="s">
        <v>4057</v>
      </c>
      <c r="K81" s="165" t="s">
        <v>3778</v>
      </c>
      <c r="L81" s="165" t="s">
        <v>3736</v>
      </c>
      <c r="M81" s="165" t="s">
        <v>3780</v>
      </c>
      <c r="N81" s="165" t="s">
        <v>3790</v>
      </c>
      <c r="O81" s="165" t="s">
        <v>3739</v>
      </c>
      <c r="P81" s="165" t="s">
        <v>3740</v>
      </c>
      <c r="Q81" s="226" t="s">
        <v>3781</v>
      </c>
      <c r="R81" s="227" t="s">
        <v>3742</v>
      </c>
      <c r="S81" s="227">
        <v>11.5</v>
      </c>
      <c r="T81" s="227">
        <v>155</v>
      </c>
      <c r="U81" s="227">
        <v>131.80000000000001</v>
      </c>
      <c r="V81" s="227">
        <v>9.8000000000000007</v>
      </c>
    </row>
    <row r="82" spans="2:22" ht="42" customHeight="1" x14ac:dyDescent="0.25">
      <c r="B82" s="80" t="s">
        <v>4053</v>
      </c>
      <c r="C82" s="204" t="s">
        <v>4058</v>
      </c>
      <c r="D82" s="166" t="s">
        <v>4059</v>
      </c>
      <c r="E82" s="80">
        <v>0</v>
      </c>
      <c r="F82" s="80">
        <v>0</v>
      </c>
      <c r="G82" s="80" t="s">
        <v>3732</v>
      </c>
      <c r="H82" s="166" t="s">
        <v>4024</v>
      </c>
      <c r="I82" s="166" t="s">
        <v>4060</v>
      </c>
      <c r="J82" s="166" t="s">
        <v>4061</v>
      </c>
      <c r="K82" s="166" t="s">
        <v>3735</v>
      </c>
      <c r="L82" s="166" t="s">
        <v>3747</v>
      </c>
      <c r="M82" s="166" t="s">
        <v>3753</v>
      </c>
      <c r="N82" s="166" t="s">
        <v>3754</v>
      </c>
      <c r="O82" s="166" t="s">
        <v>3739</v>
      </c>
      <c r="P82" s="166" t="s">
        <v>3740</v>
      </c>
      <c r="Q82" s="226" t="s">
        <v>3781</v>
      </c>
      <c r="R82" s="227" t="s">
        <v>3742</v>
      </c>
      <c r="S82" s="227">
        <v>14.5</v>
      </c>
      <c r="T82" s="227">
        <v>138</v>
      </c>
      <c r="U82" s="227">
        <v>117.3</v>
      </c>
      <c r="V82" s="227">
        <v>12.3</v>
      </c>
    </row>
    <row r="83" spans="2:22" ht="42" customHeight="1" x14ac:dyDescent="0.25">
      <c r="B83" s="72" t="s">
        <v>4053</v>
      </c>
      <c r="C83" s="201" t="s">
        <v>4062</v>
      </c>
      <c r="D83" s="165" t="s">
        <v>4063</v>
      </c>
      <c r="E83" s="72">
        <v>0</v>
      </c>
      <c r="F83" s="72">
        <v>0</v>
      </c>
      <c r="G83" s="72" t="s">
        <v>3732</v>
      </c>
      <c r="H83" s="165" t="s">
        <v>4024</v>
      </c>
      <c r="I83" s="165" t="s">
        <v>4064</v>
      </c>
      <c r="J83" s="165" t="s">
        <v>4065</v>
      </c>
      <c r="K83" s="165" t="s">
        <v>3752</v>
      </c>
      <c r="L83" s="165" t="s">
        <v>3763</v>
      </c>
      <c r="M83" s="165" t="s">
        <v>3753</v>
      </c>
      <c r="N83" s="165" t="s">
        <v>3754</v>
      </c>
      <c r="O83" s="165" t="s">
        <v>3739</v>
      </c>
      <c r="P83" s="165" t="s">
        <v>3740</v>
      </c>
      <c r="Q83" s="165" t="s">
        <v>3755</v>
      </c>
      <c r="R83" s="227" t="s">
        <v>3742</v>
      </c>
      <c r="S83" s="227">
        <v>15</v>
      </c>
      <c r="T83" s="227">
        <v>127</v>
      </c>
      <c r="U83" s="227">
        <v>108</v>
      </c>
      <c r="V83" s="227">
        <v>12.8</v>
      </c>
    </row>
    <row r="84" spans="2:22" ht="42" customHeight="1" x14ac:dyDescent="0.25">
      <c r="B84" s="80" t="s">
        <v>4053</v>
      </c>
      <c r="C84" s="204" t="s">
        <v>4066</v>
      </c>
      <c r="D84" s="166" t="s">
        <v>4067</v>
      </c>
      <c r="E84" s="80">
        <v>0</v>
      </c>
      <c r="F84" s="80">
        <v>0</v>
      </c>
      <c r="G84" s="80" t="s">
        <v>3732</v>
      </c>
      <c r="H84" s="166" t="s">
        <v>4024</v>
      </c>
      <c r="I84" s="166" t="s">
        <v>4068</v>
      </c>
      <c r="J84" s="166" t="s">
        <v>4069</v>
      </c>
      <c r="K84" s="166" t="s">
        <v>3735</v>
      </c>
      <c r="L84" s="166" t="s">
        <v>3747</v>
      </c>
      <c r="M84" s="166" t="s">
        <v>3780</v>
      </c>
      <c r="N84" s="166" t="s">
        <v>3754</v>
      </c>
      <c r="O84" s="166" t="s">
        <v>3773</v>
      </c>
      <c r="P84" s="166" t="s">
        <v>3740</v>
      </c>
      <c r="Q84" s="166" t="s">
        <v>3755</v>
      </c>
      <c r="R84" s="227" t="s">
        <v>3742</v>
      </c>
      <c r="S84" s="227">
        <v>18.5</v>
      </c>
      <c r="T84" s="227">
        <v>105</v>
      </c>
      <c r="U84" s="227">
        <v>89.2</v>
      </c>
      <c r="V84" s="227">
        <v>15.7</v>
      </c>
    </row>
    <row r="85" spans="2:22" ht="42" customHeight="1" x14ac:dyDescent="0.25">
      <c r="B85" s="72" t="s">
        <v>4053</v>
      </c>
      <c r="C85" s="201" t="s">
        <v>4070</v>
      </c>
      <c r="D85" s="165" t="s">
        <v>4071</v>
      </c>
      <c r="E85" s="72">
        <v>0</v>
      </c>
      <c r="F85" s="72">
        <v>0</v>
      </c>
      <c r="G85" s="72" t="s">
        <v>3732</v>
      </c>
      <c r="H85" s="165" t="s">
        <v>4024</v>
      </c>
      <c r="I85" s="165" t="s">
        <v>4072</v>
      </c>
      <c r="J85" s="165" t="s">
        <v>4073</v>
      </c>
      <c r="K85" s="165" t="s">
        <v>3735</v>
      </c>
      <c r="L85" s="165" t="s">
        <v>3747</v>
      </c>
      <c r="M85" s="165" t="s">
        <v>3780</v>
      </c>
      <c r="N85" s="165" t="s">
        <v>3754</v>
      </c>
      <c r="O85" s="165" t="s">
        <v>3773</v>
      </c>
      <c r="P85" s="165" t="s">
        <v>3740</v>
      </c>
      <c r="Q85" s="165" t="s">
        <v>3755</v>
      </c>
      <c r="R85" s="227" t="s">
        <v>3742</v>
      </c>
      <c r="S85" s="227">
        <v>18.8</v>
      </c>
      <c r="T85" s="227">
        <v>103</v>
      </c>
      <c r="U85" s="227">
        <v>87.5</v>
      </c>
      <c r="V85" s="227">
        <v>16</v>
      </c>
    </row>
    <row r="86" spans="2:22" ht="42" customHeight="1" x14ac:dyDescent="0.25">
      <c r="B86" s="80" t="s">
        <v>4053</v>
      </c>
      <c r="C86" s="204" t="s">
        <v>4074</v>
      </c>
      <c r="D86" s="166" t="s">
        <v>4075</v>
      </c>
      <c r="E86" s="80">
        <v>0</v>
      </c>
      <c r="F86" s="80">
        <v>0</v>
      </c>
      <c r="G86" s="80" t="s">
        <v>3732</v>
      </c>
      <c r="H86" s="166" t="s">
        <v>4024</v>
      </c>
      <c r="I86" s="166" t="s">
        <v>4076</v>
      </c>
      <c r="J86" s="166" t="s">
        <v>4077</v>
      </c>
      <c r="K86" s="166" t="s">
        <v>3735</v>
      </c>
      <c r="L86" s="166" t="s">
        <v>3747</v>
      </c>
      <c r="M86" s="166" t="s">
        <v>3780</v>
      </c>
      <c r="N86" s="166" t="s">
        <v>3754</v>
      </c>
      <c r="O86" s="166" t="s">
        <v>3773</v>
      </c>
      <c r="P86" s="166" t="s">
        <v>3740</v>
      </c>
      <c r="Q86" s="166" t="s">
        <v>3755</v>
      </c>
      <c r="R86" s="227" t="s">
        <v>3742</v>
      </c>
      <c r="S86" s="227">
        <v>19.2</v>
      </c>
      <c r="T86" s="227">
        <v>101</v>
      </c>
      <c r="U86" s="227">
        <v>85.8</v>
      </c>
      <c r="V86" s="227">
        <v>16.3</v>
      </c>
    </row>
    <row r="87" spans="2:22" ht="42" customHeight="1" x14ac:dyDescent="0.25">
      <c r="B87" s="72" t="s">
        <v>4053</v>
      </c>
      <c r="C87" s="201" t="s">
        <v>1910</v>
      </c>
      <c r="D87" s="165" t="s">
        <v>4078</v>
      </c>
      <c r="E87" s="72">
        <v>0</v>
      </c>
      <c r="F87" s="72">
        <v>0</v>
      </c>
      <c r="G87" s="72" t="s">
        <v>3732</v>
      </c>
      <c r="H87" s="165" t="s">
        <v>4024</v>
      </c>
      <c r="I87" s="165" t="s">
        <v>4079</v>
      </c>
      <c r="J87" s="165" t="s">
        <v>4080</v>
      </c>
      <c r="K87" s="165" t="s">
        <v>3735</v>
      </c>
      <c r="L87" s="165" t="s">
        <v>3763</v>
      </c>
      <c r="M87" s="165" t="s">
        <v>3780</v>
      </c>
      <c r="N87" s="165" t="s">
        <v>3754</v>
      </c>
      <c r="O87" s="165" t="s">
        <v>3773</v>
      </c>
      <c r="P87" s="165" t="s">
        <v>3740</v>
      </c>
      <c r="Q87" s="165" t="s">
        <v>3755</v>
      </c>
      <c r="R87" s="227" t="s">
        <v>3742</v>
      </c>
      <c r="S87" s="227">
        <v>19.5</v>
      </c>
      <c r="T87" s="227">
        <v>99</v>
      </c>
      <c r="U87" s="227">
        <v>84.1</v>
      </c>
      <c r="V87" s="227">
        <v>16.600000000000001</v>
      </c>
    </row>
    <row r="88" spans="2:22" ht="42" customHeight="1" x14ac:dyDescent="0.25">
      <c r="B88" s="80" t="s">
        <v>4053</v>
      </c>
      <c r="C88" s="204" t="s">
        <v>4081</v>
      </c>
      <c r="D88" s="166" t="s">
        <v>4082</v>
      </c>
      <c r="E88" s="80">
        <v>0</v>
      </c>
      <c r="F88" s="80">
        <v>0</v>
      </c>
      <c r="G88" s="80" t="s">
        <v>3732</v>
      </c>
      <c r="H88" s="166" t="s">
        <v>4024</v>
      </c>
      <c r="I88" s="166" t="s">
        <v>4083</v>
      </c>
      <c r="J88" s="166" t="s">
        <v>4084</v>
      </c>
      <c r="K88" s="166" t="s">
        <v>3735</v>
      </c>
      <c r="L88" s="166" t="s">
        <v>3747</v>
      </c>
      <c r="M88" s="166" t="s">
        <v>3780</v>
      </c>
      <c r="N88" s="166" t="s">
        <v>3790</v>
      </c>
      <c r="O88" s="166" t="s">
        <v>3739</v>
      </c>
      <c r="P88" s="166" t="s">
        <v>3740</v>
      </c>
      <c r="Q88" s="166" t="s">
        <v>3755</v>
      </c>
      <c r="R88" s="227" t="s">
        <v>3742</v>
      </c>
      <c r="S88" s="227">
        <v>21</v>
      </c>
      <c r="T88" s="227">
        <v>94</v>
      </c>
      <c r="U88" s="227">
        <v>79.900000000000006</v>
      </c>
      <c r="V88" s="227">
        <v>17.8</v>
      </c>
    </row>
    <row r="89" spans="2:22" ht="42" customHeight="1" x14ac:dyDescent="0.25">
      <c r="B89" s="72" t="s">
        <v>4053</v>
      </c>
      <c r="C89" s="201" t="s">
        <v>4085</v>
      </c>
      <c r="D89" s="165" t="s">
        <v>4086</v>
      </c>
      <c r="E89" s="72">
        <v>0</v>
      </c>
      <c r="F89" s="72">
        <v>0</v>
      </c>
      <c r="G89" s="72" t="s">
        <v>3732</v>
      </c>
      <c r="H89" s="165" t="s">
        <v>4024</v>
      </c>
      <c r="I89" s="165" t="s">
        <v>4087</v>
      </c>
      <c r="J89" s="165" t="s">
        <v>4088</v>
      </c>
      <c r="K89" s="165" t="s">
        <v>3778</v>
      </c>
      <c r="L89" s="165" t="s">
        <v>3779</v>
      </c>
      <c r="M89" s="165" t="s">
        <v>3795</v>
      </c>
      <c r="N89" s="165" t="s">
        <v>3790</v>
      </c>
      <c r="O89" s="165" t="s">
        <v>3773</v>
      </c>
      <c r="P89" s="165" t="s">
        <v>3740</v>
      </c>
      <c r="Q89" s="165" t="s">
        <v>3755</v>
      </c>
      <c r="R89" s="227" t="s">
        <v>3742</v>
      </c>
      <c r="S89" s="227">
        <v>22.5</v>
      </c>
      <c r="T89" s="227">
        <v>88</v>
      </c>
      <c r="U89" s="227">
        <v>74.8</v>
      </c>
      <c r="V89" s="227">
        <v>19.100000000000001</v>
      </c>
    </row>
    <row r="90" spans="2:22" ht="18" customHeight="1" x14ac:dyDescent="0.25">
      <c r="B90" s="374" t="s">
        <v>4089</v>
      </c>
      <c r="C90" s="374"/>
      <c r="D90" s="374"/>
      <c r="E90" s="374"/>
      <c r="F90" s="374"/>
      <c r="G90" s="374"/>
      <c r="H90" s="374"/>
      <c r="I90" s="374"/>
      <c r="J90" s="374"/>
      <c r="K90" s="374"/>
      <c r="L90" s="374"/>
      <c r="M90" s="374"/>
      <c r="N90" s="374"/>
      <c r="O90" s="374"/>
      <c r="P90" s="374"/>
      <c r="Q90" s="374"/>
    </row>
    <row r="91" spans="2:22" ht="42" customHeight="1" x14ac:dyDescent="0.25">
      <c r="B91" s="72" t="s">
        <v>4090</v>
      </c>
      <c r="C91" s="201" t="s">
        <v>4091</v>
      </c>
      <c r="D91" s="165" t="s">
        <v>4092</v>
      </c>
      <c r="E91" s="72">
        <v>0</v>
      </c>
      <c r="F91" s="72">
        <v>0</v>
      </c>
      <c r="G91" s="72" t="s">
        <v>3732</v>
      </c>
      <c r="H91" s="165" t="s">
        <v>3855</v>
      </c>
      <c r="I91" s="165" t="s">
        <v>4093</v>
      </c>
      <c r="J91" s="165" t="s">
        <v>4094</v>
      </c>
      <c r="K91" s="165" t="s">
        <v>3778</v>
      </c>
      <c r="L91" s="165" t="s">
        <v>3779</v>
      </c>
      <c r="M91" s="165" t="s">
        <v>3795</v>
      </c>
      <c r="N91" s="165" t="s">
        <v>3790</v>
      </c>
      <c r="O91" s="165" t="s">
        <v>3773</v>
      </c>
      <c r="P91" s="165" t="s">
        <v>3740</v>
      </c>
      <c r="Q91" s="165" t="s">
        <v>3755</v>
      </c>
      <c r="R91" s="227" t="s">
        <v>4095</v>
      </c>
      <c r="S91" s="227">
        <v>24.5</v>
      </c>
      <c r="T91" s="227">
        <v>88</v>
      </c>
      <c r="U91" s="227">
        <v>74.8</v>
      </c>
      <c r="V91" s="227">
        <v>20.8</v>
      </c>
    </row>
    <row r="92" spans="2:22" ht="42" customHeight="1" x14ac:dyDescent="0.25">
      <c r="B92" s="80" t="s">
        <v>4090</v>
      </c>
      <c r="C92" s="204" t="s">
        <v>2283</v>
      </c>
      <c r="D92" s="166" t="s">
        <v>4096</v>
      </c>
      <c r="E92" s="80">
        <v>0</v>
      </c>
      <c r="F92" s="80">
        <v>0</v>
      </c>
      <c r="G92" s="80" t="s">
        <v>3732</v>
      </c>
      <c r="H92" s="166" t="s">
        <v>3867</v>
      </c>
      <c r="I92" s="166" t="s">
        <v>4097</v>
      </c>
      <c r="J92" s="166" t="s">
        <v>4098</v>
      </c>
      <c r="K92" s="166" t="s">
        <v>3752</v>
      </c>
      <c r="L92" s="166" t="s">
        <v>3747</v>
      </c>
      <c r="M92" s="166" t="s">
        <v>3753</v>
      </c>
      <c r="N92" s="166" t="s">
        <v>3754</v>
      </c>
      <c r="O92" s="166" t="s">
        <v>3739</v>
      </c>
      <c r="P92" s="166" t="s">
        <v>3740</v>
      </c>
      <c r="Q92" s="166" t="s">
        <v>3755</v>
      </c>
      <c r="R92" s="227" t="s">
        <v>4095</v>
      </c>
      <c r="S92" s="227">
        <v>23.5</v>
      </c>
      <c r="T92" s="227">
        <v>93</v>
      </c>
      <c r="U92" s="227">
        <v>79</v>
      </c>
      <c r="V92" s="227">
        <v>20</v>
      </c>
    </row>
    <row r="93" spans="2:22" ht="42" customHeight="1" x14ac:dyDescent="0.25">
      <c r="B93" s="72" t="s">
        <v>4090</v>
      </c>
      <c r="C93" s="201" t="s">
        <v>4099</v>
      </c>
      <c r="D93" s="165" t="s">
        <v>4100</v>
      </c>
      <c r="E93" s="72">
        <v>0</v>
      </c>
      <c r="F93" s="72">
        <v>0</v>
      </c>
      <c r="G93" s="72" t="s">
        <v>3732</v>
      </c>
      <c r="H93" s="165" t="s">
        <v>3855</v>
      </c>
      <c r="I93" s="165" t="s">
        <v>4101</v>
      </c>
      <c r="J93" s="165" t="s">
        <v>4102</v>
      </c>
      <c r="K93" s="165" t="s">
        <v>3735</v>
      </c>
      <c r="L93" s="165" t="s">
        <v>3763</v>
      </c>
      <c r="M93" s="165" t="s">
        <v>3780</v>
      </c>
      <c r="N93" s="165" t="s">
        <v>3754</v>
      </c>
      <c r="O93" s="165" t="s">
        <v>3773</v>
      </c>
      <c r="P93" s="165" t="s">
        <v>3740</v>
      </c>
      <c r="Q93" s="165" t="s">
        <v>3755</v>
      </c>
      <c r="R93" s="227" t="s">
        <v>4095</v>
      </c>
      <c r="S93" s="227">
        <v>23</v>
      </c>
      <c r="T93" s="227">
        <v>97</v>
      </c>
      <c r="U93" s="227">
        <v>82.5</v>
      </c>
      <c r="V93" s="227">
        <v>19.600000000000001</v>
      </c>
    </row>
    <row r="94" spans="2:22" ht="42" customHeight="1" x14ac:dyDescent="0.25">
      <c r="B94" s="80" t="s">
        <v>4090</v>
      </c>
      <c r="C94" s="204" t="s">
        <v>4103</v>
      </c>
      <c r="D94" s="166" t="s">
        <v>4104</v>
      </c>
      <c r="E94" s="80">
        <v>0</v>
      </c>
      <c r="F94" s="80">
        <v>0</v>
      </c>
      <c r="G94" s="80" t="s">
        <v>3732</v>
      </c>
      <c r="H94" s="166" t="s">
        <v>3855</v>
      </c>
      <c r="I94" s="166" t="s">
        <v>4105</v>
      </c>
      <c r="J94" s="166" t="s">
        <v>4106</v>
      </c>
      <c r="K94" s="166" t="s">
        <v>3735</v>
      </c>
      <c r="L94" s="166" t="s">
        <v>3763</v>
      </c>
      <c r="M94" s="166" t="s">
        <v>3780</v>
      </c>
      <c r="N94" s="166" t="s">
        <v>3754</v>
      </c>
      <c r="O94" s="166" t="s">
        <v>3773</v>
      </c>
      <c r="P94" s="166" t="s">
        <v>3740</v>
      </c>
      <c r="Q94" s="166" t="s">
        <v>3755</v>
      </c>
      <c r="R94" s="227" t="s">
        <v>4095</v>
      </c>
      <c r="S94" s="227">
        <v>22.5</v>
      </c>
      <c r="T94" s="227">
        <v>99</v>
      </c>
      <c r="U94" s="227">
        <v>84.1</v>
      </c>
      <c r="V94" s="227">
        <v>19.100000000000001</v>
      </c>
    </row>
    <row r="95" spans="2:22" ht="42" customHeight="1" x14ac:dyDescent="0.25">
      <c r="B95" s="72" t="s">
        <v>4090</v>
      </c>
      <c r="C95" s="201" t="s">
        <v>4107</v>
      </c>
      <c r="D95" s="165" t="s">
        <v>4108</v>
      </c>
      <c r="E95" s="72">
        <v>0</v>
      </c>
      <c r="F95" s="72">
        <v>0</v>
      </c>
      <c r="G95" s="72" t="s">
        <v>3732</v>
      </c>
      <c r="H95" s="165" t="s">
        <v>3855</v>
      </c>
      <c r="I95" s="165" t="s">
        <v>4109</v>
      </c>
      <c r="J95" s="165" t="s">
        <v>4110</v>
      </c>
      <c r="K95" s="165" t="s">
        <v>3735</v>
      </c>
      <c r="L95" s="165" t="s">
        <v>3763</v>
      </c>
      <c r="M95" s="165" t="s">
        <v>3780</v>
      </c>
      <c r="N95" s="165" t="s">
        <v>3754</v>
      </c>
      <c r="O95" s="165" t="s">
        <v>3773</v>
      </c>
      <c r="P95" s="165" t="s">
        <v>3740</v>
      </c>
      <c r="Q95" s="165" t="s">
        <v>3755</v>
      </c>
      <c r="R95" s="227" t="s">
        <v>4095</v>
      </c>
      <c r="S95" s="227">
        <v>22</v>
      </c>
      <c r="T95" s="227">
        <v>101</v>
      </c>
      <c r="U95" s="227">
        <v>85.8</v>
      </c>
      <c r="V95" s="227">
        <v>18.7</v>
      </c>
    </row>
    <row r="96" spans="2:22" ht="42" customHeight="1" x14ac:dyDescent="0.25">
      <c r="B96" s="80" t="s">
        <v>4090</v>
      </c>
      <c r="C96" s="204" t="s">
        <v>4111</v>
      </c>
      <c r="D96" s="166" t="s">
        <v>4112</v>
      </c>
      <c r="E96" s="80">
        <v>0</v>
      </c>
      <c r="F96" s="80">
        <v>0</v>
      </c>
      <c r="G96" s="80" t="s">
        <v>3732</v>
      </c>
      <c r="H96" s="166" t="s">
        <v>4024</v>
      </c>
      <c r="I96" s="166" t="s">
        <v>4113</v>
      </c>
      <c r="J96" s="166" t="s">
        <v>4114</v>
      </c>
      <c r="K96" s="166" t="s">
        <v>3752</v>
      </c>
      <c r="L96" s="166" t="s">
        <v>3747</v>
      </c>
      <c r="M96" s="166" t="s">
        <v>3753</v>
      </c>
      <c r="N96" s="166" t="s">
        <v>3754</v>
      </c>
      <c r="O96" s="166" t="s">
        <v>3739</v>
      </c>
      <c r="P96" s="166" t="s">
        <v>3740</v>
      </c>
      <c r="Q96" s="166" t="s">
        <v>3755</v>
      </c>
      <c r="R96" s="227" t="s">
        <v>4095</v>
      </c>
      <c r="S96" s="227">
        <v>20.5</v>
      </c>
      <c r="T96" s="227">
        <v>110</v>
      </c>
      <c r="U96" s="227">
        <v>93.5</v>
      </c>
      <c r="V96" s="227">
        <v>17.399999999999999</v>
      </c>
    </row>
    <row r="97" spans="2:22" ht="42" customHeight="1" x14ac:dyDescent="0.25">
      <c r="B97" s="72" t="s">
        <v>4090</v>
      </c>
      <c r="C97" s="201" t="s">
        <v>4115</v>
      </c>
      <c r="D97" s="165" t="s">
        <v>4116</v>
      </c>
      <c r="E97" s="72">
        <v>0</v>
      </c>
      <c r="F97" s="72">
        <v>0</v>
      </c>
      <c r="G97" s="72" t="s">
        <v>3732</v>
      </c>
      <c r="H97" s="165" t="s">
        <v>3855</v>
      </c>
      <c r="I97" s="165" t="s">
        <v>4117</v>
      </c>
      <c r="J97" s="165" t="s">
        <v>4118</v>
      </c>
      <c r="K97" s="165" t="s">
        <v>3778</v>
      </c>
      <c r="L97" s="165" t="s">
        <v>3763</v>
      </c>
      <c r="M97" s="165" t="s">
        <v>3780</v>
      </c>
      <c r="N97" s="165" t="s">
        <v>3754</v>
      </c>
      <c r="O97" s="165" t="s">
        <v>3773</v>
      </c>
      <c r="P97" s="165" t="s">
        <v>3740</v>
      </c>
      <c r="Q97" s="226" t="s">
        <v>3781</v>
      </c>
      <c r="R97" s="227" t="s">
        <v>4095</v>
      </c>
      <c r="S97" s="227">
        <v>18</v>
      </c>
      <c r="T97" s="227">
        <v>128</v>
      </c>
      <c r="U97" s="227">
        <v>108.8</v>
      </c>
      <c r="V97" s="227">
        <v>15.3</v>
      </c>
    </row>
    <row r="98" spans="2:22" ht="42" customHeight="1" x14ac:dyDescent="0.25">
      <c r="B98" s="80" t="s">
        <v>4090</v>
      </c>
      <c r="C98" s="204" t="s">
        <v>4119</v>
      </c>
      <c r="D98" s="166" t="s">
        <v>4120</v>
      </c>
      <c r="E98" s="80">
        <v>0</v>
      </c>
      <c r="F98" s="80">
        <v>0</v>
      </c>
      <c r="G98" s="80" t="s">
        <v>3732</v>
      </c>
      <c r="H98" s="166" t="s">
        <v>3855</v>
      </c>
      <c r="I98" s="166" t="s">
        <v>4121</v>
      </c>
      <c r="J98" s="166" t="s">
        <v>4122</v>
      </c>
      <c r="K98" s="166" t="s">
        <v>3752</v>
      </c>
      <c r="L98" s="166" t="s">
        <v>3747</v>
      </c>
      <c r="M98" s="166" t="s">
        <v>3753</v>
      </c>
      <c r="N98" s="166" t="s">
        <v>3754</v>
      </c>
      <c r="O98" s="166" t="s">
        <v>3764</v>
      </c>
      <c r="P98" s="166" t="s">
        <v>3740</v>
      </c>
      <c r="Q98" s="166" t="s">
        <v>3755</v>
      </c>
      <c r="R98" s="227" t="s">
        <v>4095</v>
      </c>
      <c r="S98" s="227">
        <v>14</v>
      </c>
      <c r="T98" s="227">
        <v>158</v>
      </c>
      <c r="U98" s="227">
        <v>134.30000000000001</v>
      </c>
      <c r="V98" s="227">
        <v>11.9</v>
      </c>
    </row>
    <row r="99" spans="2:22" ht="42" customHeight="1" x14ac:dyDescent="0.25">
      <c r="B99" s="72" t="s">
        <v>4090</v>
      </c>
      <c r="C99" s="201" t="s">
        <v>4123</v>
      </c>
      <c r="D99" s="165" t="s">
        <v>4124</v>
      </c>
      <c r="E99" s="72">
        <v>0</v>
      </c>
      <c r="F99" s="72">
        <v>0</v>
      </c>
      <c r="G99" s="72" t="s">
        <v>3732</v>
      </c>
      <c r="H99" s="165" t="s">
        <v>3855</v>
      </c>
      <c r="I99" s="165" t="s">
        <v>4125</v>
      </c>
      <c r="J99" s="165" t="s">
        <v>4126</v>
      </c>
      <c r="K99" s="165" t="s">
        <v>3752</v>
      </c>
      <c r="L99" s="165" t="s">
        <v>3747</v>
      </c>
      <c r="M99" s="165" t="s">
        <v>3753</v>
      </c>
      <c r="N99" s="165" t="s">
        <v>3754</v>
      </c>
      <c r="O99" s="165" t="s">
        <v>3764</v>
      </c>
      <c r="P99" s="165" t="s">
        <v>3740</v>
      </c>
      <c r="Q99" s="165" t="s">
        <v>3755</v>
      </c>
      <c r="R99" s="227" t="s">
        <v>4095</v>
      </c>
      <c r="S99" s="227">
        <v>13</v>
      </c>
      <c r="T99" s="227">
        <v>162</v>
      </c>
      <c r="U99" s="227">
        <v>137.69999999999999</v>
      </c>
      <c r="V99" s="227">
        <v>11</v>
      </c>
    </row>
    <row r="100" spans="2:22" ht="42" customHeight="1" x14ac:dyDescent="0.25">
      <c r="B100" s="80" t="s">
        <v>4090</v>
      </c>
      <c r="C100" s="204" t="s">
        <v>4127</v>
      </c>
      <c r="D100" s="166" t="s">
        <v>4128</v>
      </c>
      <c r="E100" s="80">
        <v>0</v>
      </c>
      <c r="F100" s="80">
        <v>0</v>
      </c>
      <c r="G100" s="80" t="s">
        <v>3732</v>
      </c>
      <c r="H100" s="166" t="s">
        <v>3855</v>
      </c>
      <c r="I100" s="166" t="s">
        <v>4129</v>
      </c>
      <c r="J100" s="166" t="s">
        <v>4130</v>
      </c>
      <c r="K100" s="166" t="s">
        <v>3752</v>
      </c>
      <c r="L100" s="166" t="s">
        <v>3747</v>
      </c>
      <c r="M100" s="166" t="s">
        <v>3737</v>
      </c>
      <c r="N100" s="166" t="s">
        <v>3754</v>
      </c>
      <c r="O100" s="166" t="s">
        <v>3764</v>
      </c>
      <c r="P100" s="166" t="s">
        <v>3740</v>
      </c>
      <c r="Q100" s="226" t="s">
        <v>3741</v>
      </c>
      <c r="R100" s="227" t="s">
        <v>4095</v>
      </c>
      <c r="S100" s="227">
        <v>11</v>
      </c>
      <c r="T100" s="227">
        <v>157</v>
      </c>
      <c r="U100" s="227">
        <v>133.4</v>
      </c>
      <c r="V100" s="227">
        <v>9.3000000000000007</v>
      </c>
    </row>
    <row r="101" spans="2:22" ht="42" customHeight="1" x14ac:dyDescent="0.25">
      <c r="B101" s="72" t="s">
        <v>4090</v>
      </c>
      <c r="C101" s="201" t="s">
        <v>4131</v>
      </c>
      <c r="D101" s="165" t="s">
        <v>4132</v>
      </c>
      <c r="E101" s="72">
        <v>0</v>
      </c>
      <c r="F101" s="72">
        <v>0</v>
      </c>
      <c r="G101" s="72" t="s">
        <v>3732</v>
      </c>
      <c r="H101" s="165" t="s">
        <v>3855</v>
      </c>
      <c r="I101" s="165" t="s">
        <v>4133</v>
      </c>
      <c r="J101" s="165" t="s">
        <v>4134</v>
      </c>
      <c r="K101" s="165" t="s">
        <v>3752</v>
      </c>
      <c r="L101" s="165" t="s">
        <v>3747</v>
      </c>
      <c r="M101" s="165" t="s">
        <v>3737</v>
      </c>
      <c r="N101" s="165" t="s">
        <v>3754</v>
      </c>
      <c r="O101" s="165" t="s">
        <v>3764</v>
      </c>
      <c r="P101" s="165" t="s">
        <v>3740</v>
      </c>
      <c r="Q101" s="226" t="s">
        <v>3741</v>
      </c>
      <c r="R101" s="227" t="s">
        <v>4095</v>
      </c>
      <c r="S101" s="227">
        <v>10.5</v>
      </c>
      <c r="T101" s="227">
        <v>163</v>
      </c>
      <c r="U101" s="227">
        <v>138.5</v>
      </c>
      <c r="V101" s="227">
        <v>8.9</v>
      </c>
    </row>
    <row r="102" spans="2:22" ht="42" customHeight="1" x14ac:dyDescent="0.25">
      <c r="B102" s="80" t="s">
        <v>4090</v>
      </c>
      <c r="C102" s="204" t="s">
        <v>4135</v>
      </c>
      <c r="D102" s="166" t="s">
        <v>4136</v>
      </c>
      <c r="E102" s="80">
        <v>0</v>
      </c>
      <c r="F102" s="80">
        <v>0</v>
      </c>
      <c r="G102" s="80" t="s">
        <v>3732</v>
      </c>
      <c r="H102" s="166" t="s">
        <v>3855</v>
      </c>
      <c r="I102" s="166" t="s">
        <v>3497</v>
      </c>
      <c r="J102" s="166" t="s">
        <v>4137</v>
      </c>
      <c r="K102" s="166" t="s">
        <v>3752</v>
      </c>
      <c r="L102" s="166" t="s">
        <v>3747</v>
      </c>
      <c r="M102" s="166" t="s">
        <v>3737</v>
      </c>
      <c r="N102" s="166" t="s">
        <v>3754</v>
      </c>
      <c r="O102" s="166" t="s">
        <v>3764</v>
      </c>
      <c r="P102" s="166" t="s">
        <v>3740</v>
      </c>
      <c r="Q102" s="226" t="s">
        <v>3741</v>
      </c>
      <c r="R102" s="227" t="s">
        <v>4095</v>
      </c>
      <c r="S102" s="227">
        <v>7.5</v>
      </c>
      <c r="T102" s="227">
        <v>163</v>
      </c>
      <c r="U102" s="227">
        <v>138.5</v>
      </c>
      <c r="V102" s="227">
        <v>6.4</v>
      </c>
    </row>
    <row r="103" spans="2:22" ht="42" customHeight="1" x14ac:dyDescent="0.25">
      <c r="B103" s="72" t="s">
        <v>4090</v>
      </c>
      <c r="C103" s="201" t="s">
        <v>1827</v>
      </c>
      <c r="D103" s="165" t="s">
        <v>4138</v>
      </c>
      <c r="E103" s="72">
        <v>0</v>
      </c>
      <c r="F103" s="72">
        <v>0</v>
      </c>
      <c r="G103" s="72" t="s">
        <v>3732</v>
      </c>
      <c r="H103" s="165" t="s">
        <v>3855</v>
      </c>
      <c r="I103" s="165" t="s">
        <v>4139</v>
      </c>
      <c r="J103" s="165" t="s">
        <v>4140</v>
      </c>
      <c r="K103" s="165" t="s">
        <v>3752</v>
      </c>
      <c r="L103" s="165" t="s">
        <v>3747</v>
      </c>
      <c r="M103" s="165" t="s">
        <v>3737</v>
      </c>
      <c r="N103" s="165" t="s">
        <v>3754</v>
      </c>
      <c r="O103" s="165" t="s">
        <v>3764</v>
      </c>
      <c r="P103" s="165" t="s">
        <v>3740</v>
      </c>
      <c r="Q103" s="226" t="s">
        <v>3741</v>
      </c>
      <c r="R103" s="227" t="s">
        <v>4095</v>
      </c>
      <c r="S103" s="227">
        <v>9</v>
      </c>
      <c r="T103" s="227">
        <v>166</v>
      </c>
      <c r="U103" s="227">
        <v>141.1</v>
      </c>
      <c r="V103" s="227">
        <v>7.6</v>
      </c>
    </row>
    <row r="104" spans="2:22" ht="42" customHeight="1" x14ac:dyDescent="0.25">
      <c r="B104" s="80" t="s">
        <v>4090</v>
      </c>
      <c r="C104" s="204" t="s">
        <v>2003</v>
      </c>
      <c r="D104" s="166" t="s">
        <v>4141</v>
      </c>
      <c r="E104" s="80">
        <v>0</v>
      </c>
      <c r="F104" s="80">
        <v>0</v>
      </c>
      <c r="G104" s="80" t="s">
        <v>3732</v>
      </c>
      <c r="H104" s="166" t="s">
        <v>3855</v>
      </c>
      <c r="I104" s="166" t="s">
        <v>4142</v>
      </c>
      <c r="J104" s="166" t="s">
        <v>4143</v>
      </c>
      <c r="K104" s="166" t="s">
        <v>3752</v>
      </c>
      <c r="L104" s="166" t="s">
        <v>3747</v>
      </c>
      <c r="M104" s="166" t="s">
        <v>3737</v>
      </c>
      <c r="N104" s="166" t="s">
        <v>3754</v>
      </c>
      <c r="O104" s="166" t="s">
        <v>3764</v>
      </c>
      <c r="P104" s="166" t="s">
        <v>3740</v>
      </c>
      <c r="Q104" s="226" t="s">
        <v>3741</v>
      </c>
      <c r="R104" s="227" t="s">
        <v>4095</v>
      </c>
      <c r="S104" s="227">
        <v>4</v>
      </c>
      <c r="T104" s="227">
        <v>167</v>
      </c>
      <c r="U104" s="227">
        <v>141.9</v>
      </c>
      <c r="V104" s="227">
        <v>3.4</v>
      </c>
    </row>
    <row r="105" spans="2:22" ht="42" customHeight="1" x14ac:dyDescent="0.25">
      <c r="B105" s="72" t="s">
        <v>4090</v>
      </c>
      <c r="C105" s="201" t="s">
        <v>4144</v>
      </c>
      <c r="D105" s="165" t="s">
        <v>4145</v>
      </c>
      <c r="E105" s="72">
        <v>0</v>
      </c>
      <c r="F105" s="72">
        <v>0</v>
      </c>
      <c r="G105" s="72" t="s">
        <v>3732</v>
      </c>
      <c r="H105" s="165" t="s">
        <v>3867</v>
      </c>
      <c r="I105" s="165" t="s">
        <v>4146</v>
      </c>
      <c r="J105" s="165" t="s">
        <v>4147</v>
      </c>
      <c r="K105" s="165" t="s">
        <v>3778</v>
      </c>
      <c r="L105" s="165" t="s">
        <v>3736</v>
      </c>
      <c r="M105" s="165" t="s">
        <v>3780</v>
      </c>
      <c r="N105" s="165" t="s">
        <v>3790</v>
      </c>
      <c r="O105" s="165" t="s">
        <v>3739</v>
      </c>
      <c r="P105" s="165" t="s">
        <v>3740</v>
      </c>
      <c r="Q105" s="226" t="s">
        <v>3781</v>
      </c>
      <c r="R105" s="227" t="s">
        <v>4095</v>
      </c>
      <c r="S105" s="227">
        <v>5</v>
      </c>
      <c r="T105" s="227">
        <v>175</v>
      </c>
      <c r="U105" s="227">
        <v>148.80000000000001</v>
      </c>
      <c r="V105" s="227">
        <v>4.2</v>
      </c>
    </row>
    <row r="106" spans="2:22" ht="42" customHeight="1" x14ac:dyDescent="0.25">
      <c r="B106" s="80" t="s">
        <v>4090</v>
      </c>
      <c r="C106" s="204" t="s">
        <v>2713</v>
      </c>
      <c r="D106" s="166" t="s">
        <v>4148</v>
      </c>
      <c r="E106" s="80">
        <v>0</v>
      </c>
      <c r="F106" s="80">
        <v>0</v>
      </c>
      <c r="G106" s="80" t="s">
        <v>3732</v>
      </c>
      <c r="H106" s="166" t="s">
        <v>3867</v>
      </c>
      <c r="I106" s="166" t="s">
        <v>3413</v>
      </c>
      <c r="J106" s="166" t="s">
        <v>4149</v>
      </c>
      <c r="K106" s="166" t="s">
        <v>3879</v>
      </c>
      <c r="L106" s="166" t="s">
        <v>3736</v>
      </c>
      <c r="M106" s="166" t="s">
        <v>3780</v>
      </c>
      <c r="N106" s="166" t="s">
        <v>3880</v>
      </c>
      <c r="O106" s="166" t="s">
        <v>3773</v>
      </c>
      <c r="P106" s="166" t="s">
        <v>3740</v>
      </c>
      <c r="Q106" s="166" t="s">
        <v>3755</v>
      </c>
      <c r="R106" s="227" t="s">
        <v>3742</v>
      </c>
      <c r="S106" s="227">
        <v>6</v>
      </c>
      <c r="T106" s="227">
        <v>182</v>
      </c>
      <c r="U106" s="227">
        <v>154.69999999999999</v>
      </c>
      <c r="V106" s="227">
        <v>5.0999999999999996</v>
      </c>
    </row>
    <row r="107" spans="2:22" ht="18" customHeight="1" x14ac:dyDescent="0.25">
      <c r="B107" s="374" t="s">
        <v>4150</v>
      </c>
      <c r="C107" s="374"/>
      <c r="D107" s="374"/>
      <c r="E107" s="374"/>
      <c r="F107" s="374"/>
      <c r="G107" s="374"/>
      <c r="H107" s="374"/>
      <c r="I107" s="374"/>
      <c r="J107" s="374"/>
      <c r="K107" s="374"/>
      <c r="L107" s="374"/>
      <c r="M107" s="374"/>
      <c r="N107" s="374"/>
      <c r="O107" s="374"/>
      <c r="P107" s="374"/>
      <c r="Q107" s="374"/>
    </row>
    <row r="108" spans="2:22" ht="42" customHeight="1" x14ac:dyDescent="0.25">
      <c r="B108" s="80" t="s">
        <v>4151</v>
      </c>
      <c r="C108" s="204" t="s">
        <v>4152</v>
      </c>
      <c r="D108" s="166" t="s">
        <v>4153</v>
      </c>
      <c r="E108" s="80">
        <v>0</v>
      </c>
      <c r="F108" s="80">
        <v>0</v>
      </c>
      <c r="G108" s="80" t="s">
        <v>3732</v>
      </c>
      <c r="H108" s="166" t="s">
        <v>3867</v>
      </c>
      <c r="I108" s="166" t="s">
        <v>3888</v>
      </c>
      <c r="J108" s="166" t="s">
        <v>4154</v>
      </c>
      <c r="K108" s="166" t="s">
        <v>3874</v>
      </c>
      <c r="L108" s="166" t="s">
        <v>3779</v>
      </c>
      <c r="M108" s="166" t="s">
        <v>4155</v>
      </c>
      <c r="N108" s="166" t="s">
        <v>3880</v>
      </c>
      <c r="O108" s="166" t="s">
        <v>3773</v>
      </c>
      <c r="P108" s="166" t="s">
        <v>3740</v>
      </c>
      <c r="Q108" s="226" t="s">
        <v>3890</v>
      </c>
      <c r="R108" s="227" t="s">
        <v>3742</v>
      </c>
      <c r="S108" s="227">
        <v>2</v>
      </c>
      <c r="T108" s="227">
        <v>186.5</v>
      </c>
      <c r="U108" s="227">
        <v>158.5</v>
      </c>
      <c r="V108" s="227">
        <v>1.7</v>
      </c>
    </row>
    <row r="109" spans="2:22" ht="42" customHeight="1" x14ac:dyDescent="0.25">
      <c r="B109" s="72" t="s">
        <v>4151</v>
      </c>
      <c r="C109" s="201" t="s">
        <v>4156</v>
      </c>
      <c r="D109" s="165" t="s">
        <v>4157</v>
      </c>
      <c r="E109" s="72">
        <v>0</v>
      </c>
      <c r="F109" s="72">
        <v>0</v>
      </c>
      <c r="G109" s="72" t="s">
        <v>3732</v>
      </c>
      <c r="H109" s="165" t="s">
        <v>3867</v>
      </c>
      <c r="I109" s="165" t="s">
        <v>4158</v>
      </c>
      <c r="J109" s="165" t="s">
        <v>4159</v>
      </c>
      <c r="K109" s="165" t="s">
        <v>3879</v>
      </c>
      <c r="L109" s="165" t="s">
        <v>3736</v>
      </c>
      <c r="M109" s="165" t="s">
        <v>3772</v>
      </c>
      <c r="N109" s="165" t="s">
        <v>3880</v>
      </c>
      <c r="O109" s="165" t="s">
        <v>3764</v>
      </c>
      <c r="P109" s="165" t="s">
        <v>3740</v>
      </c>
      <c r="Q109" s="226" t="s">
        <v>3890</v>
      </c>
      <c r="R109" s="227" t="s">
        <v>3742</v>
      </c>
      <c r="S109" s="227">
        <v>2.8</v>
      </c>
      <c r="T109" s="227">
        <v>187.5</v>
      </c>
      <c r="U109" s="227">
        <v>159.4</v>
      </c>
      <c r="V109" s="227">
        <v>2.4</v>
      </c>
    </row>
    <row r="110" spans="2:22" ht="42" customHeight="1" x14ac:dyDescent="0.25">
      <c r="B110" s="80" t="s">
        <v>4151</v>
      </c>
      <c r="C110" s="204" t="s">
        <v>2245</v>
      </c>
      <c r="D110" s="166" t="s">
        <v>4160</v>
      </c>
      <c r="E110" s="80">
        <v>0</v>
      </c>
      <c r="F110" s="80">
        <v>0</v>
      </c>
      <c r="G110" s="80" t="s">
        <v>3732</v>
      </c>
      <c r="H110" s="166" t="s">
        <v>3867</v>
      </c>
      <c r="I110" s="166" t="s">
        <v>4161</v>
      </c>
      <c r="J110" s="166" t="s">
        <v>4162</v>
      </c>
      <c r="K110" s="166" t="s">
        <v>3752</v>
      </c>
      <c r="L110" s="166" t="s">
        <v>3747</v>
      </c>
      <c r="M110" s="166" t="s">
        <v>3753</v>
      </c>
      <c r="N110" s="166" t="s">
        <v>3754</v>
      </c>
      <c r="O110" s="166" t="s">
        <v>3764</v>
      </c>
      <c r="P110" s="166" t="s">
        <v>3740</v>
      </c>
      <c r="Q110" s="166" t="s">
        <v>3755</v>
      </c>
      <c r="R110" s="227" t="s">
        <v>4095</v>
      </c>
      <c r="S110" s="227">
        <v>2.5</v>
      </c>
      <c r="T110" s="227">
        <v>174</v>
      </c>
      <c r="U110" s="227">
        <v>147.9</v>
      </c>
      <c r="V110" s="227">
        <v>2.1</v>
      </c>
    </row>
    <row r="111" spans="2:22" ht="42" customHeight="1" x14ac:dyDescent="0.25">
      <c r="B111" s="72" t="s">
        <v>4151</v>
      </c>
      <c r="C111" s="201" t="s">
        <v>4163</v>
      </c>
      <c r="D111" s="165" t="s">
        <v>4164</v>
      </c>
      <c r="E111" s="72">
        <v>0</v>
      </c>
      <c r="F111" s="72">
        <v>0</v>
      </c>
      <c r="G111" s="72" t="s">
        <v>3732</v>
      </c>
      <c r="H111" s="165" t="s">
        <v>4165</v>
      </c>
      <c r="I111" s="165" t="s">
        <v>4166</v>
      </c>
      <c r="J111" s="165" t="s">
        <v>4167</v>
      </c>
      <c r="K111" s="165" t="s">
        <v>3752</v>
      </c>
      <c r="L111" s="165" t="s">
        <v>3747</v>
      </c>
      <c r="M111" s="165" t="s">
        <v>3737</v>
      </c>
      <c r="N111" s="165" t="s">
        <v>3754</v>
      </c>
      <c r="O111" s="165" t="s">
        <v>3764</v>
      </c>
      <c r="P111" s="165" t="s">
        <v>3740</v>
      </c>
      <c r="Q111" s="226" t="s">
        <v>3741</v>
      </c>
      <c r="R111" s="227" t="s">
        <v>4095</v>
      </c>
      <c r="S111" s="227">
        <v>3.2</v>
      </c>
      <c r="T111" s="227">
        <v>163.5</v>
      </c>
      <c r="U111" s="227">
        <v>139</v>
      </c>
      <c r="V111" s="227">
        <v>2.7</v>
      </c>
    </row>
    <row r="112" spans="2:22" ht="42" customHeight="1" x14ac:dyDescent="0.25">
      <c r="B112" s="80" t="s">
        <v>4151</v>
      </c>
      <c r="C112" s="204" t="s">
        <v>4168</v>
      </c>
      <c r="D112" s="166" t="s">
        <v>4169</v>
      </c>
      <c r="E112" s="80">
        <v>0</v>
      </c>
      <c r="F112" s="80">
        <v>0</v>
      </c>
      <c r="G112" s="80" t="s">
        <v>3732</v>
      </c>
      <c r="H112" s="166" t="s">
        <v>4165</v>
      </c>
      <c r="I112" s="166" t="s">
        <v>4170</v>
      </c>
      <c r="J112" s="166" t="s">
        <v>4171</v>
      </c>
      <c r="K112" s="166" t="s">
        <v>3752</v>
      </c>
      <c r="L112" s="166" t="s">
        <v>3747</v>
      </c>
      <c r="M112" s="166" t="s">
        <v>3737</v>
      </c>
      <c r="N112" s="166" t="s">
        <v>3840</v>
      </c>
      <c r="O112" s="166" t="s">
        <v>3764</v>
      </c>
      <c r="P112" s="166" t="s">
        <v>3740</v>
      </c>
      <c r="Q112" s="226" t="s">
        <v>3741</v>
      </c>
      <c r="R112" s="227" t="s">
        <v>4095</v>
      </c>
      <c r="S112" s="227">
        <v>3.2</v>
      </c>
      <c r="T112" s="227">
        <v>161</v>
      </c>
      <c r="U112" s="227">
        <v>136.80000000000001</v>
      </c>
      <c r="V112" s="227">
        <v>2.7</v>
      </c>
    </row>
    <row r="113" spans="2:22" ht="42" customHeight="1" x14ac:dyDescent="0.25">
      <c r="B113" s="72" t="s">
        <v>4151</v>
      </c>
      <c r="C113" s="201" t="s">
        <v>1915</v>
      </c>
      <c r="D113" s="165" t="s">
        <v>4172</v>
      </c>
      <c r="E113" s="72">
        <v>0</v>
      </c>
      <c r="F113" s="72">
        <v>0</v>
      </c>
      <c r="G113" s="72" t="s">
        <v>3732</v>
      </c>
      <c r="H113" s="165" t="s">
        <v>4165</v>
      </c>
      <c r="I113" s="165" t="s">
        <v>4173</v>
      </c>
      <c r="J113" s="165" t="s">
        <v>4174</v>
      </c>
      <c r="K113" s="165" t="s">
        <v>3752</v>
      </c>
      <c r="L113" s="165" t="s">
        <v>3747</v>
      </c>
      <c r="M113" s="165" t="s">
        <v>3737</v>
      </c>
      <c r="N113" s="165" t="s">
        <v>3840</v>
      </c>
      <c r="O113" s="165" t="s">
        <v>3764</v>
      </c>
      <c r="P113" s="165" t="s">
        <v>3740</v>
      </c>
      <c r="Q113" s="226" t="s">
        <v>3741</v>
      </c>
      <c r="R113" s="227" t="s">
        <v>4095</v>
      </c>
      <c r="S113" s="227">
        <v>3.2</v>
      </c>
      <c r="T113" s="227">
        <v>158</v>
      </c>
      <c r="U113" s="227">
        <v>134.30000000000001</v>
      </c>
      <c r="V113" s="227">
        <v>2.7</v>
      </c>
    </row>
    <row r="114" spans="2:22" ht="42" customHeight="1" x14ac:dyDescent="0.25">
      <c r="B114" s="80" t="s">
        <v>4151</v>
      </c>
      <c r="C114" s="204" t="s">
        <v>4175</v>
      </c>
      <c r="D114" s="166" t="s">
        <v>4176</v>
      </c>
      <c r="E114" s="80">
        <v>0</v>
      </c>
      <c r="F114" s="80">
        <v>0</v>
      </c>
      <c r="G114" s="80" t="s">
        <v>3732</v>
      </c>
      <c r="H114" s="166" t="s">
        <v>2348</v>
      </c>
      <c r="I114" s="166" t="s">
        <v>4177</v>
      </c>
      <c r="J114" s="166" t="s">
        <v>4178</v>
      </c>
      <c r="K114" s="166" t="s">
        <v>3752</v>
      </c>
      <c r="L114" s="166" t="s">
        <v>3747</v>
      </c>
      <c r="M114" s="166" t="s">
        <v>3737</v>
      </c>
      <c r="N114" s="166" t="s">
        <v>3754</v>
      </c>
      <c r="O114" s="166" t="s">
        <v>3764</v>
      </c>
      <c r="P114" s="166" t="s">
        <v>3740</v>
      </c>
      <c r="Q114" s="226" t="s">
        <v>3741</v>
      </c>
      <c r="R114" s="227" t="s">
        <v>4095</v>
      </c>
      <c r="S114" s="227">
        <v>3.2</v>
      </c>
      <c r="T114" s="227">
        <v>155.5</v>
      </c>
      <c r="U114" s="227">
        <v>132.19999999999999</v>
      </c>
      <c r="V114" s="227">
        <v>2.7</v>
      </c>
    </row>
    <row r="115" spans="2:22" ht="42" customHeight="1" x14ac:dyDescent="0.25">
      <c r="B115" s="72" t="s">
        <v>4151</v>
      </c>
      <c r="C115" s="201" t="s">
        <v>1780</v>
      </c>
      <c r="D115" s="165" t="s">
        <v>4179</v>
      </c>
      <c r="E115" s="72">
        <v>0</v>
      </c>
      <c r="F115" s="72">
        <v>0</v>
      </c>
      <c r="G115" s="72" t="s">
        <v>3732</v>
      </c>
      <c r="H115" s="165" t="s">
        <v>2348</v>
      </c>
      <c r="I115" s="165" t="s">
        <v>4180</v>
      </c>
      <c r="J115" s="165" t="s">
        <v>4181</v>
      </c>
      <c r="K115" s="165" t="s">
        <v>3752</v>
      </c>
      <c r="L115" s="165" t="s">
        <v>3747</v>
      </c>
      <c r="M115" s="165" t="s">
        <v>3737</v>
      </c>
      <c r="N115" s="165" t="s">
        <v>3754</v>
      </c>
      <c r="O115" s="165" t="s">
        <v>3764</v>
      </c>
      <c r="P115" s="165" t="s">
        <v>3740</v>
      </c>
      <c r="Q115" s="226" t="s">
        <v>3741</v>
      </c>
      <c r="R115" s="227" t="s">
        <v>4095</v>
      </c>
      <c r="S115" s="227">
        <v>3.2</v>
      </c>
      <c r="T115" s="227">
        <v>153</v>
      </c>
      <c r="U115" s="227">
        <v>130</v>
      </c>
      <c r="V115" s="227">
        <v>2.7</v>
      </c>
    </row>
    <row r="116" spans="2:22" ht="42" customHeight="1" x14ac:dyDescent="0.25">
      <c r="B116" s="80" t="s">
        <v>4151</v>
      </c>
      <c r="C116" s="204" t="s">
        <v>1753</v>
      </c>
      <c r="D116" s="166" t="s">
        <v>4182</v>
      </c>
      <c r="E116" s="80">
        <v>0</v>
      </c>
      <c r="F116" s="80">
        <v>0</v>
      </c>
      <c r="G116" s="80" t="s">
        <v>3732</v>
      </c>
      <c r="H116" s="166" t="s">
        <v>3842</v>
      </c>
      <c r="I116" s="166" t="s">
        <v>4183</v>
      </c>
      <c r="J116" s="166" t="s">
        <v>4184</v>
      </c>
      <c r="K116" s="166" t="s">
        <v>3752</v>
      </c>
      <c r="L116" s="166" t="s">
        <v>3747</v>
      </c>
      <c r="M116" s="166" t="s">
        <v>3737</v>
      </c>
      <c r="N116" s="166" t="s">
        <v>3840</v>
      </c>
      <c r="O116" s="166" t="s">
        <v>3764</v>
      </c>
      <c r="P116" s="166" t="s">
        <v>3740</v>
      </c>
      <c r="Q116" s="226" t="s">
        <v>3741</v>
      </c>
      <c r="R116" s="227" t="s">
        <v>4095</v>
      </c>
      <c r="S116" s="227">
        <v>3.2</v>
      </c>
      <c r="T116" s="227">
        <v>147.5</v>
      </c>
      <c r="U116" s="227">
        <v>125.4</v>
      </c>
      <c r="V116" s="227">
        <v>2.7</v>
      </c>
    </row>
    <row r="117" spans="2:22" ht="42" customHeight="1" x14ac:dyDescent="0.25">
      <c r="B117" s="72" t="s">
        <v>4151</v>
      </c>
      <c r="C117" s="201" t="s">
        <v>1862</v>
      </c>
      <c r="D117" s="165" t="s">
        <v>4185</v>
      </c>
      <c r="E117" s="72">
        <v>0</v>
      </c>
      <c r="F117" s="72">
        <v>0</v>
      </c>
      <c r="G117" s="72" t="s">
        <v>3732</v>
      </c>
      <c r="H117" s="165" t="s">
        <v>4165</v>
      </c>
      <c r="I117" s="165" t="s">
        <v>4186</v>
      </c>
      <c r="J117" s="165" t="s">
        <v>4187</v>
      </c>
      <c r="K117" s="165" t="s">
        <v>3752</v>
      </c>
      <c r="L117" s="165" t="s">
        <v>3747</v>
      </c>
      <c r="M117" s="165" t="s">
        <v>3737</v>
      </c>
      <c r="N117" s="165" t="s">
        <v>3754</v>
      </c>
      <c r="O117" s="165" t="s">
        <v>3764</v>
      </c>
      <c r="P117" s="165" t="s">
        <v>3740</v>
      </c>
      <c r="Q117" s="226" t="s">
        <v>3741</v>
      </c>
      <c r="R117" s="227" t="s">
        <v>4095</v>
      </c>
      <c r="S117" s="227">
        <v>3.2</v>
      </c>
      <c r="T117" s="227">
        <v>142</v>
      </c>
      <c r="U117" s="227">
        <v>120.7</v>
      </c>
      <c r="V117" s="227">
        <v>2.7</v>
      </c>
    </row>
    <row r="118" spans="2:22" ht="42" customHeight="1" x14ac:dyDescent="0.25">
      <c r="B118" s="80" t="s">
        <v>4151</v>
      </c>
      <c r="C118" s="204" t="s">
        <v>2880</v>
      </c>
      <c r="D118" s="166" t="s">
        <v>4188</v>
      </c>
      <c r="E118" s="80">
        <v>0</v>
      </c>
      <c r="F118" s="80">
        <v>0</v>
      </c>
      <c r="G118" s="80" t="s">
        <v>3732</v>
      </c>
      <c r="H118" s="166" t="s">
        <v>4165</v>
      </c>
      <c r="I118" s="166" t="s">
        <v>4189</v>
      </c>
      <c r="J118" s="166" t="s">
        <v>4190</v>
      </c>
      <c r="K118" s="166" t="s">
        <v>3752</v>
      </c>
      <c r="L118" s="166" t="s">
        <v>3747</v>
      </c>
      <c r="M118" s="166" t="s">
        <v>3737</v>
      </c>
      <c r="N118" s="166" t="s">
        <v>3754</v>
      </c>
      <c r="O118" s="166" t="s">
        <v>3764</v>
      </c>
      <c r="P118" s="166" t="s">
        <v>3740</v>
      </c>
      <c r="Q118" s="226" t="s">
        <v>3741</v>
      </c>
      <c r="R118" s="227" t="s">
        <v>4095</v>
      </c>
      <c r="S118" s="227">
        <v>3.2</v>
      </c>
      <c r="T118" s="227">
        <v>139</v>
      </c>
      <c r="U118" s="227">
        <v>118.1</v>
      </c>
      <c r="V118" s="227">
        <v>2.7</v>
      </c>
    </row>
    <row r="119" spans="2:22" ht="42" customHeight="1" x14ac:dyDescent="0.25">
      <c r="B119" s="72" t="s">
        <v>4151</v>
      </c>
      <c r="C119" s="201" t="s">
        <v>1983</v>
      </c>
      <c r="D119" s="165" t="s">
        <v>4191</v>
      </c>
      <c r="E119" s="72">
        <v>0</v>
      </c>
      <c r="F119" s="72">
        <v>0</v>
      </c>
      <c r="G119" s="72" t="s">
        <v>3732</v>
      </c>
      <c r="H119" s="165" t="s">
        <v>3915</v>
      </c>
      <c r="I119" s="165" t="s">
        <v>4192</v>
      </c>
      <c r="J119" s="165" t="s">
        <v>4193</v>
      </c>
      <c r="K119" s="165" t="s">
        <v>3752</v>
      </c>
      <c r="L119" s="165" t="s">
        <v>3747</v>
      </c>
      <c r="M119" s="165" t="s">
        <v>3737</v>
      </c>
      <c r="N119" s="165" t="s">
        <v>3840</v>
      </c>
      <c r="O119" s="165" t="s">
        <v>3764</v>
      </c>
      <c r="P119" s="165" t="s">
        <v>3740</v>
      </c>
      <c r="Q119" s="226" t="s">
        <v>3741</v>
      </c>
      <c r="R119" s="227" t="s">
        <v>4095</v>
      </c>
      <c r="S119" s="227">
        <v>3.2</v>
      </c>
      <c r="T119" s="227">
        <v>136</v>
      </c>
      <c r="U119" s="227">
        <v>115.6</v>
      </c>
      <c r="V119" s="227">
        <v>2.7</v>
      </c>
    </row>
    <row r="120" spans="2:22" ht="42" customHeight="1" x14ac:dyDescent="0.25">
      <c r="B120" s="80" t="s">
        <v>4151</v>
      </c>
      <c r="C120" s="204" t="s">
        <v>2143</v>
      </c>
      <c r="D120" s="166" t="s">
        <v>4194</v>
      </c>
      <c r="E120" s="80">
        <v>0</v>
      </c>
      <c r="F120" s="80">
        <v>0</v>
      </c>
      <c r="G120" s="80" t="s">
        <v>3732</v>
      </c>
      <c r="H120" s="166" t="s">
        <v>3915</v>
      </c>
      <c r="I120" s="166" t="s">
        <v>4195</v>
      </c>
      <c r="J120" s="166" t="s">
        <v>4196</v>
      </c>
      <c r="K120" s="166" t="s">
        <v>3752</v>
      </c>
      <c r="L120" s="166" t="s">
        <v>3747</v>
      </c>
      <c r="M120" s="166" t="s">
        <v>3737</v>
      </c>
      <c r="N120" s="166" t="s">
        <v>3754</v>
      </c>
      <c r="O120" s="166" t="s">
        <v>3764</v>
      </c>
      <c r="P120" s="166" t="s">
        <v>3740</v>
      </c>
      <c r="Q120" s="226" t="s">
        <v>3741</v>
      </c>
      <c r="R120" s="227" t="s">
        <v>4095</v>
      </c>
      <c r="S120" s="227">
        <v>3.2</v>
      </c>
      <c r="T120" s="227">
        <v>133.5</v>
      </c>
      <c r="U120" s="227">
        <v>113.5</v>
      </c>
      <c r="V120" s="227">
        <v>2.7</v>
      </c>
    </row>
    <row r="121" spans="2:22" ht="42" customHeight="1" x14ac:dyDescent="0.25">
      <c r="B121" s="72" t="s">
        <v>4151</v>
      </c>
      <c r="C121" s="201" t="s">
        <v>4197</v>
      </c>
      <c r="D121" s="165" t="s">
        <v>4198</v>
      </c>
      <c r="E121" s="72">
        <v>0</v>
      </c>
      <c r="F121" s="72">
        <v>0</v>
      </c>
      <c r="G121" s="72" t="s">
        <v>3732</v>
      </c>
      <c r="H121" s="165" t="s">
        <v>3915</v>
      </c>
      <c r="I121" s="165" t="s">
        <v>4199</v>
      </c>
      <c r="J121" s="165" t="s">
        <v>4200</v>
      </c>
      <c r="K121" s="165" t="s">
        <v>3752</v>
      </c>
      <c r="L121" s="165" t="s">
        <v>3747</v>
      </c>
      <c r="M121" s="165" t="s">
        <v>3831</v>
      </c>
      <c r="N121" s="165" t="s">
        <v>3754</v>
      </c>
      <c r="O121" s="165" t="s">
        <v>3764</v>
      </c>
      <c r="P121" s="165" t="s">
        <v>3740</v>
      </c>
      <c r="Q121" s="165" t="s">
        <v>3755</v>
      </c>
      <c r="R121" s="227" t="s">
        <v>4095</v>
      </c>
      <c r="S121" s="227">
        <v>3.2</v>
      </c>
      <c r="T121" s="227">
        <v>130.5</v>
      </c>
      <c r="U121" s="227">
        <v>110.9</v>
      </c>
      <c r="V121" s="227">
        <v>2.7</v>
      </c>
    </row>
    <row r="122" spans="2:22" ht="42" customHeight="1" x14ac:dyDescent="0.25">
      <c r="B122" s="80" t="s">
        <v>4151</v>
      </c>
      <c r="C122" s="204" t="s">
        <v>1652</v>
      </c>
      <c r="D122" s="166" t="s">
        <v>4201</v>
      </c>
      <c r="E122" s="80">
        <v>0</v>
      </c>
      <c r="F122" s="80">
        <v>0</v>
      </c>
      <c r="G122" s="80" t="s">
        <v>3732</v>
      </c>
      <c r="H122" s="166" t="s">
        <v>4165</v>
      </c>
      <c r="I122" s="166" t="s">
        <v>4202</v>
      </c>
      <c r="J122" s="166" t="s">
        <v>4203</v>
      </c>
      <c r="K122" s="166" t="s">
        <v>3752</v>
      </c>
      <c r="L122" s="166" t="s">
        <v>3747</v>
      </c>
      <c r="M122" s="166" t="s">
        <v>3831</v>
      </c>
      <c r="N122" s="166" t="s">
        <v>3840</v>
      </c>
      <c r="O122" s="166" t="s">
        <v>3764</v>
      </c>
      <c r="P122" s="166" t="s">
        <v>3740</v>
      </c>
      <c r="Q122" s="166" t="s">
        <v>3755</v>
      </c>
      <c r="R122" s="227" t="s">
        <v>4095</v>
      </c>
      <c r="S122" s="227">
        <v>3.2</v>
      </c>
      <c r="T122" s="227">
        <v>126</v>
      </c>
      <c r="U122" s="227">
        <v>107.1</v>
      </c>
      <c r="V122" s="227">
        <v>2.7</v>
      </c>
    </row>
    <row r="123" spans="2:22" ht="42" customHeight="1" x14ac:dyDescent="0.25">
      <c r="B123" s="72" t="s">
        <v>4151</v>
      </c>
      <c r="C123" s="201" t="s">
        <v>4204</v>
      </c>
      <c r="D123" s="165" t="s">
        <v>4205</v>
      </c>
      <c r="E123" s="72">
        <v>0</v>
      </c>
      <c r="F123" s="72">
        <v>0</v>
      </c>
      <c r="G123" s="72" t="s">
        <v>3732</v>
      </c>
      <c r="H123" s="165" t="s">
        <v>3949</v>
      </c>
      <c r="I123" s="165" t="s">
        <v>4206</v>
      </c>
      <c r="J123" s="165" t="s">
        <v>4207</v>
      </c>
      <c r="K123" s="165" t="s">
        <v>3752</v>
      </c>
      <c r="L123" s="165" t="s">
        <v>3747</v>
      </c>
      <c r="M123" s="165" t="s">
        <v>3831</v>
      </c>
      <c r="N123" s="165" t="s">
        <v>3754</v>
      </c>
      <c r="O123" s="165" t="s">
        <v>3764</v>
      </c>
      <c r="P123" s="165" t="s">
        <v>3740</v>
      </c>
      <c r="Q123" s="165" t="s">
        <v>3755</v>
      </c>
      <c r="R123" s="227" t="s">
        <v>4095</v>
      </c>
      <c r="S123" s="227">
        <v>3.2</v>
      </c>
      <c r="T123" s="227">
        <v>122</v>
      </c>
      <c r="U123" s="227">
        <v>103.7</v>
      </c>
      <c r="V123" s="227">
        <v>2.7</v>
      </c>
    </row>
    <row r="124" spans="2:22" ht="42" customHeight="1" x14ac:dyDescent="0.25">
      <c r="B124" s="80" t="s">
        <v>4151</v>
      </c>
      <c r="C124" s="204" t="s">
        <v>2604</v>
      </c>
      <c r="D124" s="166" t="s">
        <v>4208</v>
      </c>
      <c r="E124" s="80">
        <v>0</v>
      </c>
      <c r="F124" s="80">
        <v>0</v>
      </c>
      <c r="G124" s="80" t="s">
        <v>3732</v>
      </c>
      <c r="H124" s="166" t="s">
        <v>3949</v>
      </c>
      <c r="I124" s="166" t="s">
        <v>4209</v>
      </c>
      <c r="J124" s="166" t="s">
        <v>4210</v>
      </c>
      <c r="K124" s="166" t="s">
        <v>3752</v>
      </c>
      <c r="L124" s="166" t="s">
        <v>3747</v>
      </c>
      <c r="M124" s="166" t="s">
        <v>3831</v>
      </c>
      <c r="N124" s="166" t="s">
        <v>3754</v>
      </c>
      <c r="O124" s="166" t="s">
        <v>3764</v>
      </c>
      <c r="P124" s="166" t="s">
        <v>3740</v>
      </c>
      <c r="Q124" s="166" t="s">
        <v>3755</v>
      </c>
      <c r="R124" s="227" t="s">
        <v>4095</v>
      </c>
      <c r="S124" s="227">
        <v>3.2</v>
      </c>
      <c r="T124" s="227">
        <v>119</v>
      </c>
      <c r="U124" s="227">
        <v>101.1</v>
      </c>
      <c r="V124" s="227">
        <v>2.7</v>
      </c>
    </row>
    <row r="125" spans="2:22" ht="42" customHeight="1" x14ac:dyDescent="0.25">
      <c r="B125" s="72" t="s">
        <v>4151</v>
      </c>
      <c r="C125" s="201" t="s">
        <v>4211</v>
      </c>
      <c r="D125" s="165" t="s">
        <v>4212</v>
      </c>
      <c r="E125" s="72">
        <v>0</v>
      </c>
      <c r="F125" s="72">
        <v>0</v>
      </c>
      <c r="G125" s="72" t="s">
        <v>3732</v>
      </c>
      <c r="H125" s="165" t="s">
        <v>3949</v>
      </c>
      <c r="I125" s="165" t="s">
        <v>4213</v>
      </c>
      <c r="J125" s="165" t="s">
        <v>4207</v>
      </c>
      <c r="K125" s="165" t="s">
        <v>3752</v>
      </c>
      <c r="L125" s="165" t="s">
        <v>3747</v>
      </c>
      <c r="M125" s="165" t="s">
        <v>3831</v>
      </c>
      <c r="N125" s="165" t="s">
        <v>3754</v>
      </c>
      <c r="O125" s="165" t="s">
        <v>3764</v>
      </c>
      <c r="P125" s="165" t="s">
        <v>3740</v>
      </c>
      <c r="Q125" s="165" t="s">
        <v>3755</v>
      </c>
      <c r="R125" s="227" t="s">
        <v>4095</v>
      </c>
      <c r="S125" s="227">
        <v>3.2</v>
      </c>
      <c r="T125" s="227">
        <v>116</v>
      </c>
      <c r="U125" s="227">
        <v>98.6</v>
      </c>
      <c r="V125" s="227">
        <v>2.7</v>
      </c>
    </row>
    <row r="126" spans="2:22" ht="42" customHeight="1" x14ac:dyDescent="0.25">
      <c r="B126" s="80" t="s">
        <v>4151</v>
      </c>
      <c r="C126" s="204" t="s">
        <v>2163</v>
      </c>
      <c r="D126" s="166" t="s">
        <v>4214</v>
      </c>
      <c r="E126" s="80">
        <v>0</v>
      </c>
      <c r="F126" s="80">
        <v>0</v>
      </c>
      <c r="G126" s="80" t="s">
        <v>3732</v>
      </c>
      <c r="H126" s="166" t="s">
        <v>3936</v>
      </c>
      <c r="I126" s="166" t="s">
        <v>4215</v>
      </c>
      <c r="J126" s="166" t="s">
        <v>4216</v>
      </c>
      <c r="K126" s="166" t="s">
        <v>3752</v>
      </c>
      <c r="L126" s="166" t="s">
        <v>3747</v>
      </c>
      <c r="M126" s="166" t="s">
        <v>3831</v>
      </c>
      <c r="N126" s="166" t="s">
        <v>3754</v>
      </c>
      <c r="O126" s="166" t="s">
        <v>3739</v>
      </c>
      <c r="P126" s="166" t="s">
        <v>3740</v>
      </c>
      <c r="Q126" s="166" t="s">
        <v>3755</v>
      </c>
      <c r="R126" s="227" t="s">
        <v>4095</v>
      </c>
      <c r="S126" s="227">
        <v>3.2</v>
      </c>
      <c r="T126" s="227">
        <v>112.5</v>
      </c>
      <c r="U126" s="227">
        <v>95.6</v>
      </c>
      <c r="V126" s="227">
        <v>2.7</v>
      </c>
    </row>
    <row r="127" spans="2:22" ht="42" customHeight="1" x14ac:dyDescent="0.25">
      <c r="B127" s="72" t="s">
        <v>4151</v>
      </c>
      <c r="C127" s="201" t="s">
        <v>2187</v>
      </c>
      <c r="D127" s="165" t="s">
        <v>4217</v>
      </c>
      <c r="E127" s="72">
        <v>0</v>
      </c>
      <c r="F127" s="72">
        <v>0</v>
      </c>
      <c r="G127" s="72" t="s">
        <v>3732</v>
      </c>
      <c r="H127" s="165" t="s">
        <v>3936</v>
      </c>
      <c r="I127" s="165" t="s">
        <v>4218</v>
      </c>
      <c r="J127" s="165" t="s">
        <v>4219</v>
      </c>
      <c r="K127" s="165" t="s">
        <v>3752</v>
      </c>
      <c r="L127" s="165" t="s">
        <v>3747</v>
      </c>
      <c r="M127" s="165" t="s">
        <v>3831</v>
      </c>
      <c r="N127" s="165" t="s">
        <v>3754</v>
      </c>
      <c r="O127" s="165" t="s">
        <v>3739</v>
      </c>
      <c r="P127" s="165" t="s">
        <v>3740</v>
      </c>
      <c r="Q127" s="165" t="s">
        <v>3755</v>
      </c>
      <c r="R127" s="227" t="s">
        <v>4095</v>
      </c>
      <c r="S127" s="227">
        <v>3.2</v>
      </c>
      <c r="T127" s="227">
        <v>109.5</v>
      </c>
      <c r="U127" s="227">
        <v>93.1</v>
      </c>
      <c r="V127" s="227">
        <v>2.7</v>
      </c>
    </row>
    <row r="128" spans="2:22" ht="42" customHeight="1" x14ac:dyDescent="0.25">
      <c r="B128" s="80" t="s">
        <v>4151</v>
      </c>
      <c r="C128" s="204" t="s">
        <v>4220</v>
      </c>
      <c r="D128" s="166" t="s">
        <v>4221</v>
      </c>
      <c r="E128" s="80">
        <v>0</v>
      </c>
      <c r="F128" s="80">
        <v>0</v>
      </c>
      <c r="G128" s="80" t="s">
        <v>3732</v>
      </c>
      <c r="H128" s="166" t="s">
        <v>3936</v>
      </c>
      <c r="I128" s="166" t="s">
        <v>4222</v>
      </c>
      <c r="J128" s="166" t="s">
        <v>3942</v>
      </c>
      <c r="K128" s="166" t="s">
        <v>3752</v>
      </c>
      <c r="L128" s="166" t="s">
        <v>3747</v>
      </c>
      <c r="M128" s="166" t="s">
        <v>3831</v>
      </c>
      <c r="N128" s="166" t="s">
        <v>3754</v>
      </c>
      <c r="O128" s="166" t="s">
        <v>3739</v>
      </c>
      <c r="P128" s="166" t="s">
        <v>3740</v>
      </c>
      <c r="Q128" s="226" t="s">
        <v>3814</v>
      </c>
      <c r="R128" s="227" t="s">
        <v>4095</v>
      </c>
      <c r="S128" s="227">
        <v>2.2000000000000002</v>
      </c>
      <c r="T128" s="227">
        <v>108</v>
      </c>
      <c r="U128" s="227">
        <v>91.8</v>
      </c>
      <c r="V128" s="227">
        <v>1.9</v>
      </c>
    </row>
    <row r="129" spans="2:22" ht="42" customHeight="1" x14ac:dyDescent="0.25">
      <c r="B129" s="72" t="s">
        <v>4151</v>
      </c>
      <c r="C129" s="201" t="s">
        <v>2209</v>
      </c>
      <c r="D129" s="165" t="s">
        <v>4223</v>
      </c>
      <c r="E129" s="72">
        <v>0</v>
      </c>
      <c r="F129" s="72">
        <v>0</v>
      </c>
      <c r="G129" s="72" t="s">
        <v>3732</v>
      </c>
      <c r="H129" s="165" t="s">
        <v>3936</v>
      </c>
      <c r="I129" s="165" t="s">
        <v>4222</v>
      </c>
      <c r="J129" s="165" t="s">
        <v>4224</v>
      </c>
      <c r="K129" s="165" t="s">
        <v>3752</v>
      </c>
      <c r="L129" s="165" t="s">
        <v>3747</v>
      </c>
      <c r="M129" s="165" t="s">
        <v>3831</v>
      </c>
      <c r="N129" s="165" t="s">
        <v>3754</v>
      </c>
      <c r="O129" s="165" t="s">
        <v>3739</v>
      </c>
      <c r="P129" s="165" t="s">
        <v>3740</v>
      </c>
      <c r="Q129" s="226" t="s">
        <v>3814</v>
      </c>
      <c r="R129" s="227" t="s">
        <v>4095</v>
      </c>
      <c r="S129" s="227">
        <v>2.2000000000000002</v>
      </c>
      <c r="T129" s="227">
        <v>105</v>
      </c>
      <c r="U129" s="227">
        <v>89.2</v>
      </c>
      <c r="V129" s="227">
        <v>1.9</v>
      </c>
    </row>
    <row r="130" spans="2:22" ht="42" customHeight="1" x14ac:dyDescent="0.25">
      <c r="B130" s="80" t="s">
        <v>4151</v>
      </c>
      <c r="C130" s="204" t="s">
        <v>4225</v>
      </c>
      <c r="D130" s="166" t="s">
        <v>4226</v>
      </c>
      <c r="E130" s="80">
        <v>0</v>
      </c>
      <c r="F130" s="80">
        <v>0</v>
      </c>
      <c r="G130" s="80" t="s">
        <v>3732</v>
      </c>
      <c r="H130" s="166" t="s">
        <v>3936</v>
      </c>
      <c r="I130" s="166" t="s">
        <v>4227</v>
      </c>
      <c r="J130" s="166" t="s">
        <v>4228</v>
      </c>
      <c r="K130" s="166" t="s">
        <v>3752</v>
      </c>
      <c r="L130" s="166" t="s">
        <v>3747</v>
      </c>
      <c r="M130" s="166" t="s">
        <v>3831</v>
      </c>
      <c r="N130" s="166" t="s">
        <v>3754</v>
      </c>
      <c r="O130" s="166" t="s">
        <v>3739</v>
      </c>
      <c r="P130" s="166" t="s">
        <v>3740</v>
      </c>
      <c r="Q130" s="226" t="s">
        <v>3814</v>
      </c>
      <c r="R130" s="227" t="s">
        <v>4095</v>
      </c>
      <c r="S130" s="227">
        <v>2.2000000000000002</v>
      </c>
      <c r="T130" s="227">
        <v>102</v>
      </c>
      <c r="U130" s="227">
        <v>86.7</v>
      </c>
      <c r="V130" s="227">
        <v>1.9</v>
      </c>
    </row>
    <row r="131" spans="2:22" ht="42" customHeight="1" x14ac:dyDescent="0.25">
      <c r="B131" s="72" t="s">
        <v>4151</v>
      </c>
      <c r="C131" s="201" t="s">
        <v>1911</v>
      </c>
      <c r="D131" s="165" t="s">
        <v>4229</v>
      </c>
      <c r="E131" s="72">
        <v>0</v>
      </c>
      <c r="F131" s="72">
        <v>0</v>
      </c>
      <c r="G131" s="72" t="s">
        <v>3732</v>
      </c>
      <c r="H131" s="165" t="s">
        <v>3949</v>
      </c>
      <c r="I131" s="165" t="s">
        <v>4230</v>
      </c>
      <c r="J131" s="165" t="s">
        <v>4231</v>
      </c>
      <c r="K131" s="165" t="s">
        <v>3752</v>
      </c>
      <c r="L131" s="165" t="s">
        <v>3747</v>
      </c>
      <c r="M131" s="165" t="s">
        <v>3831</v>
      </c>
      <c r="N131" s="165" t="s">
        <v>3754</v>
      </c>
      <c r="O131" s="165" t="s">
        <v>3764</v>
      </c>
      <c r="P131" s="165" t="s">
        <v>3952</v>
      </c>
      <c r="Q131" s="165" t="s">
        <v>3755</v>
      </c>
      <c r="R131" s="227" t="s">
        <v>4095</v>
      </c>
      <c r="S131" s="227">
        <v>5</v>
      </c>
      <c r="T131" s="227">
        <v>88</v>
      </c>
      <c r="U131" s="227">
        <v>74.8</v>
      </c>
      <c r="V131" s="227">
        <v>4.2</v>
      </c>
    </row>
    <row r="132" spans="2:22" ht="42" customHeight="1" x14ac:dyDescent="0.25">
      <c r="B132" s="80" t="s">
        <v>4151</v>
      </c>
      <c r="C132" s="204" t="s">
        <v>4232</v>
      </c>
      <c r="D132" s="166" t="s">
        <v>4233</v>
      </c>
      <c r="E132" s="80">
        <v>0</v>
      </c>
      <c r="F132" s="80">
        <v>0</v>
      </c>
      <c r="G132" s="80" t="s">
        <v>3732</v>
      </c>
      <c r="H132" s="166" t="s">
        <v>3949</v>
      </c>
      <c r="I132" s="166" t="s">
        <v>4234</v>
      </c>
      <c r="J132" s="166" t="s">
        <v>4235</v>
      </c>
      <c r="K132" s="166" t="s">
        <v>3752</v>
      </c>
      <c r="L132" s="166" t="s">
        <v>3747</v>
      </c>
      <c r="M132" s="166" t="s">
        <v>3831</v>
      </c>
      <c r="N132" s="166" t="s">
        <v>3754</v>
      </c>
      <c r="O132" s="166" t="s">
        <v>3764</v>
      </c>
      <c r="P132" s="166" t="s">
        <v>3952</v>
      </c>
      <c r="Q132" s="166" t="s">
        <v>3755</v>
      </c>
      <c r="R132" s="227" t="s">
        <v>4095</v>
      </c>
      <c r="S132" s="227">
        <v>5</v>
      </c>
      <c r="T132" s="227">
        <v>72</v>
      </c>
      <c r="U132" s="227">
        <v>61.2</v>
      </c>
      <c r="V132" s="227">
        <v>4.2</v>
      </c>
    </row>
    <row r="133" spans="2:22" ht="42" customHeight="1" x14ac:dyDescent="0.25">
      <c r="B133" s="72" t="s">
        <v>4151</v>
      </c>
      <c r="C133" s="201" t="s">
        <v>4236</v>
      </c>
      <c r="D133" s="165" t="s">
        <v>4237</v>
      </c>
      <c r="E133" s="72">
        <v>0</v>
      </c>
      <c r="F133" s="72">
        <v>0</v>
      </c>
      <c r="G133" s="72" t="s">
        <v>3732</v>
      </c>
      <c r="H133" s="165" t="s">
        <v>3936</v>
      </c>
      <c r="I133" s="165" t="s">
        <v>4238</v>
      </c>
      <c r="J133" s="165" t="s">
        <v>4239</v>
      </c>
      <c r="K133" s="165" t="s">
        <v>3735</v>
      </c>
      <c r="L133" s="165" t="s">
        <v>3763</v>
      </c>
      <c r="M133" s="165" t="s">
        <v>3753</v>
      </c>
      <c r="N133" s="165" t="s">
        <v>3754</v>
      </c>
      <c r="O133" s="165" t="s">
        <v>3739</v>
      </c>
      <c r="P133" s="165" t="s">
        <v>3952</v>
      </c>
      <c r="Q133" s="165" t="s">
        <v>3755</v>
      </c>
      <c r="R133" s="227" t="s">
        <v>4095</v>
      </c>
      <c r="S133" s="227">
        <v>6.2</v>
      </c>
      <c r="T133" s="227">
        <v>53</v>
      </c>
      <c r="U133" s="227">
        <v>45</v>
      </c>
      <c r="V133" s="227">
        <v>5.3</v>
      </c>
    </row>
    <row r="134" spans="2:22" ht="42" customHeight="1" x14ac:dyDescent="0.25">
      <c r="B134" s="80" t="s">
        <v>4151</v>
      </c>
      <c r="C134" s="204" t="s">
        <v>1676</v>
      </c>
      <c r="D134" s="166" t="s">
        <v>4240</v>
      </c>
      <c r="E134" s="80">
        <v>0</v>
      </c>
      <c r="F134" s="80">
        <v>0</v>
      </c>
      <c r="G134" s="80" t="s">
        <v>3732</v>
      </c>
      <c r="H134" s="166" t="s">
        <v>3800</v>
      </c>
      <c r="I134" s="166" t="s">
        <v>4241</v>
      </c>
      <c r="J134" s="166" t="s">
        <v>4242</v>
      </c>
      <c r="K134" s="166" t="s">
        <v>3735</v>
      </c>
      <c r="L134" s="166" t="s">
        <v>3763</v>
      </c>
      <c r="M134" s="166" t="s">
        <v>3753</v>
      </c>
      <c r="N134" s="166" t="s">
        <v>3738</v>
      </c>
      <c r="O134" s="166" t="s">
        <v>3739</v>
      </c>
      <c r="P134" s="166" t="s">
        <v>3952</v>
      </c>
      <c r="Q134" s="226" t="s">
        <v>3781</v>
      </c>
      <c r="R134" s="227" t="s">
        <v>4095</v>
      </c>
      <c r="S134" s="227">
        <v>4.5999999999999996</v>
      </c>
      <c r="T134" s="227">
        <v>53</v>
      </c>
      <c r="U134" s="227">
        <v>45</v>
      </c>
      <c r="V134" s="227">
        <v>3.9</v>
      </c>
    </row>
    <row r="135" spans="2:22" ht="42" customHeight="1" x14ac:dyDescent="0.25">
      <c r="B135" s="72" t="s">
        <v>4151</v>
      </c>
      <c r="C135" s="201" t="s">
        <v>4243</v>
      </c>
      <c r="D135" s="165" t="s">
        <v>4244</v>
      </c>
      <c r="E135" s="72">
        <v>0</v>
      </c>
      <c r="F135" s="72">
        <v>0</v>
      </c>
      <c r="G135" s="72" t="s">
        <v>3732</v>
      </c>
      <c r="H135" s="165" t="s">
        <v>2348</v>
      </c>
      <c r="I135" s="165" t="s">
        <v>4245</v>
      </c>
      <c r="J135" s="165" t="s">
        <v>4246</v>
      </c>
      <c r="K135" s="165" t="s">
        <v>3752</v>
      </c>
      <c r="L135" s="165" t="s">
        <v>3747</v>
      </c>
      <c r="M135" s="165" t="s">
        <v>3737</v>
      </c>
      <c r="N135" s="165" t="s">
        <v>3754</v>
      </c>
      <c r="O135" s="165" t="s">
        <v>3764</v>
      </c>
      <c r="P135" s="165" t="s">
        <v>3740</v>
      </c>
      <c r="Q135" s="226" t="s">
        <v>3741</v>
      </c>
      <c r="R135" s="227" t="s">
        <v>4095</v>
      </c>
      <c r="S135" s="227">
        <v>6.4</v>
      </c>
      <c r="T135" s="227">
        <v>158</v>
      </c>
      <c r="U135" s="227">
        <v>134.30000000000001</v>
      </c>
      <c r="V135" s="227">
        <v>5.4</v>
      </c>
    </row>
    <row r="136" spans="2:22" ht="42" customHeight="1" x14ac:dyDescent="0.25">
      <c r="B136" s="80" t="s">
        <v>4151</v>
      </c>
      <c r="C136" s="204" t="s">
        <v>4247</v>
      </c>
      <c r="D136" s="166" t="s">
        <v>4248</v>
      </c>
      <c r="E136" s="80">
        <v>0</v>
      </c>
      <c r="F136" s="80">
        <v>0</v>
      </c>
      <c r="G136" s="80" t="s">
        <v>3732</v>
      </c>
      <c r="H136" s="166" t="s">
        <v>2348</v>
      </c>
      <c r="I136" s="166" t="s">
        <v>4249</v>
      </c>
      <c r="J136" s="166" t="s">
        <v>4250</v>
      </c>
      <c r="K136" s="166" t="s">
        <v>3752</v>
      </c>
      <c r="L136" s="166" t="s">
        <v>3747</v>
      </c>
      <c r="M136" s="166" t="s">
        <v>3737</v>
      </c>
      <c r="N136" s="166" t="s">
        <v>3840</v>
      </c>
      <c r="O136" s="166" t="s">
        <v>3764</v>
      </c>
      <c r="P136" s="166" t="s">
        <v>3740</v>
      </c>
      <c r="Q136" s="226" t="s">
        <v>3741</v>
      </c>
      <c r="R136" s="227" t="s">
        <v>4095</v>
      </c>
      <c r="S136" s="227">
        <v>6.4</v>
      </c>
      <c r="T136" s="227">
        <v>155.5</v>
      </c>
      <c r="U136" s="227">
        <v>132.19999999999999</v>
      </c>
      <c r="V136" s="227">
        <v>5.4</v>
      </c>
    </row>
    <row r="137" spans="2:22" ht="42" customHeight="1" x14ac:dyDescent="0.25">
      <c r="B137" s="72" t="s">
        <v>4151</v>
      </c>
      <c r="C137" s="201" t="s">
        <v>4251</v>
      </c>
      <c r="D137" s="165" t="s">
        <v>4252</v>
      </c>
      <c r="E137" s="72">
        <v>0</v>
      </c>
      <c r="F137" s="72">
        <v>0</v>
      </c>
      <c r="G137" s="72" t="s">
        <v>3732</v>
      </c>
      <c r="H137" s="165" t="s">
        <v>4024</v>
      </c>
      <c r="I137" s="165" t="s">
        <v>4253</v>
      </c>
      <c r="J137" s="165" t="s">
        <v>4254</v>
      </c>
      <c r="K137" s="165" t="s">
        <v>3752</v>
      </c>
      <c r="L137" s="165" t="s">
        <v>3747</v>
      </c>
      <c r="M137" s="165" t="s">
        <v>3737</v>
      </c>
      <c r="N137" s="165" t="s">
        <v>3754</v>
      </c>
      <c r="O137" s="165" t="s">
        <v>3764</v>
      </c>
      <c r="P137" s="165" t="s">
        <v>3740</v>
      </c>
      <c r="Q137" s="226" t="s">
        <v>3741</v>
      </c>
      <c r="R137" s="227" t="s">
        <v>4095</v>
      </c>
      <c r="S137" s="227">
        <v>6.4</v>
      </c>
      <c r="T137" s="227">
        <v>153</v>
      </c>
      <c r="U137" s="227">
        <v>130</v>
      </c>
      <c r="V137" s="227">
        <v>5.4</v>
      </c>
    </row>
    <row r="138" spans="2:22" ht="42" customHeight="1" x14ac:dyDescent="0.25">
      <c r="B138" s="80" t="s">
        <v>4151</v>
      </c>
      <c r="C138" s="204" t="s">
        <v>4255</v>
      </c>
      <c r="D138" s="166" t="s">
        <v>4256</v>
      </c>
      <c r="E138" s="80">
        <v>0</v>
      </c>
      <c r="F138" s="80">
        <v>0</v>
      </c>
      <c r="G138" s="80" t="s">
        <v>3732</v>
      </c>
      <c r="H138" s="166" t="s">
        <v>4024</v>
      </c>
      <c r="I138" s="166" t="s">
        <v>4257</v>
      </c>
      <c r="J138" s="166" t="s">
        <v>4258</v>
      </c>
      <c r="K138" s="166" t="s">
        <v>3752</v>
      </c>
      <c r="L138" s="166" t="s">
        <v>3747</v>
      </c>
      <c r="M138" s="166" t="s">
        <v>3737</v>
      </c>
      <c r="N138" s="166" t="s">
        <v>3754</v>
      </c>
      <c r="O138" s="166" t="s">
        <v>3764</v>
      </c>
      <c r="P138" s="166" t="s">
        <v>3740</v>
      </c>
      <c r="Q138" s="226" t="s">
        <v>3741</v>
      </c>
      <c r="R138" s="227" t="s">
        <v>4095</v>
      </c>
      <c r="S138" s="227">
        <v>6.4</v>
      </c>
      <c r="T138" s="227">
        <v>142</v>
      </c>
      <c r="U138" s="227">
        <v>120.7</v>
      </c>
      <c r="V138" s="227">
        <v>5.4</v>
      </c>
    </row>
    <row r="139" spans="2:22" ht="42" customHeight="1" x14ac:dyDescent="0.25">
      <c r="B139" s="72" t="s">
        <v>4151</v>
      </c>
      <c r="C139" s="201" t="s">
        <v>4259</v>
      </c>
      <c r="D139" s="165" t="s">
        <v>4260</v>
      </c>
      <c r="E139" s="72">
        <v>0</v>
      </c>
      <c r="F139" s="72">
        <v>0</v>
      </c>
      <c r="G139" s="72" t="s">
        <v>3732</v>
      </c>
      <c r="H139" s="165" t="s">
        <v>3915</v>
      </c>
      <c r="I139" s="165" t="s">
        <v>4261</v>
      </c>
      <c r="J139" s="165" t="s">
        <v>4262</v>
      </c>
      <c r="K139" s="165" t="s">
        <v>3752</v>
      </c>
      <c r="L139" s="165" t="s">
        <v>3747</v>
      </c>
      <c r="M139" s="165" t="s">
        <v>3737</v>
      </c>
      <c r="N139" s="165" t="s">
        <v>3754</v>
      </c>
      <c r="O139" s="165" t="s">
        <v>3764</v>
      </c>
      <c r="P139" s="165" t="s">
        <v>3740</v>
      </c>
      <c r="Q139" s="226" t="s">
        <v>3741</v>
      </c>
      <c r="R139" s="227" t="s">
        <v>4095</v>
      </c>
      <c r="S139" s="227">
        <v>6.4</v>
      </c>
      <c r="T139" s="227">
        <v>136</v>
      </c>
      <c r="U139" s="227">
        <v>115.6</v>
      </c>
      <c r="V139" s="227">
        <v>5.4</v>
      </c>
    </row>
    <row r="140" spans="2:22" ht="42" customHeight="1" x14ac:dyDescent="0.25">
      <c r="B140" s="80" t="s">
        <v>4151</v>
      </c>
      <c r="C140" s="204" t="s">
        <v>4263</v>
      </c>
      <c r="D140" s="166" t="s">
        <v>4264</v>
      </c>
      <c r="E140" s="80">
        <v>0</v>
      </c>
      <c r="F140" s="80">
        <v>0</v>
      </c>
      <c r="G140" s="80" t="s">
        <v>3732</v>
      </c>
      <c r="H140" s="166" t="s">
        <v>3949</v>
      </c>
      <c r="I140" s="166" t="s">
        <v>4265</v>
      </c>
      <c r="J140" s="166" t="s">
        <v>4266</v>
      </c>
      <c r="K140" s="166" t="s">
        <v>3752</v>
      </c>
      <c r="L140" s="166" t="s">
        <v>3747</v>
      </c>
      <c r="M140" s="166" t="s">
        <v>3831</v>
      </c>
      <c r="N140" s="166" t="s">
        <v>3840</v>
      </c>
      <c r="O140" s="166" t="s">
        <v>3764</v>
      </c>
      <c r="P140" s="166" t="s">
        <v>3740</v>
      </c>
      <c r="Q140" s="166" t="s">
        <v>3755</v>
      </c>
      <c r="R140" s="227" t="s">
        <v>4095</v>
      </c>
      <c r="S140" s="227">
        <v>6.4</v>
      </c>
      <c r="T140" s="227">
        <v>126</v>
      </c>
      <c r="U140" s="227">
        <v>107.1</v>
      </c>
      <c r="V140" s="227">
        <v>5.4</v>
      </c>
    </row>
    <row r="141" spans="2:22" ht="42" customHeight="1" x14ac:dyDescent="0.25">
      <c r="B141" s="72" t="s">
        <v>4151</v>
      </c>
      <c r="C141" s="201" t="s">
        <v>2069</v>
      </c>
      <c r="D141" s="165" t="s">
        <v>4267</v>
      </c>
      <c r="E141" s="72">
        <v>0</v>
      </c>
      <c r="F141" s="72">
        <v>0</v>
      </c>
      <c r="G141" s="72" t="s">
        <v>3732</v>
      </c>
      <c r="H141" s="165" t="s">
        <v>3949</v>
      </c>
      <c r="I141" s="165" t="s">
        <v>4268</v>
      </c>
      <c r="J141" s="165" t="s">
        <v>4268</v>
      </c>
      <c r="K141" s="165" t="s">
        <v>3752</v>
      </c>
      <c r="L141" s="165" t="s">
        <v>3747</v>
      </c>
      <c r="M141" s="165" t="s">
        <v>3831</v>
      </c>
      <c r="N141" s="165" t="s">
        <v>3754</v>
      </c>
      <c r="O141" s="165" t="s">
        <v>3764</v>
      </c>
      <c r="P141" s="165" t="s">
        <v>3952</v>
      </c>
      <c r="Q141" s="165" t="s">
        <v>3755</v>
      </c>
      <c r="R141" s="227" t="s">
        <v>4095</v>
      </c>
      <c r="S141" s="227">
        <v>6</v>
      </c>
      <c r="T141" s="227">
        <v>100</v>
      </c>
      <c r="U141" s="227">
        <v>85</v>
      </c>
      <c r="V141" s="227">
        <v>5.0999999999999996</v>
      </c>
    </row>
    <row r="142" spans="2:22" ht="42" customHeight="1" x14ac:dyDescent="0.25">
      <c r="B142" s="80" t="s">
        <v>4151</v>
      </c>
      <c r="C142" s="204" t="s">
        <v>4269</v>
      </c>
      <c r="D142" s="166" t="s">
        <v>4270</v>
      </c>
      <c r="E142" s="80">
        <v>0</v>
      </c>
      <c r="F142" s="80">
        <v>0</v>
      </c>
      <c r="G142" s="80" t="s">
        <v>3732</v>
      </c>
      <c r="H142" s="166" t="s">
        <v>4165</v>
      </c>
      <c r="I142" s="166" t="s">
        <v>4271</v>
      </c>
      <c r="J142" s="166" t="s">
        <v>4272</v>
      </c>
      <c r="K142" s="166" t="s">
        <v>3752</v>
      </c>
      <c r="L142" s="166" t="s">
        <v>3747</v>
      </c>
      <c r="M142" s="166" t="s">
        <v>3831</v>
      </c>
      <c r="N142" s="166" t="s">
        <v>3754</v>
      </c>
      <c r="O142" s="166" t="s">
        <v>3764</v>
      </c>
      <c r="P142" s="166" t="s">
        <v>3952</v>
      </c>
      <c r="Q142" s="166" t="s">
        <v>3755</v>
      </c>
      <c r="R142" s="227" t="s">
        <v>4095</v>
      </c>
      <c r="S142" s="227">
        <v>4.5999999999999996</v>
      </c>
      <c r="T142" s="227">
        <v>38</v>
      </c>
      <c r="U142" s="227">
        <v>32.299999999999997</v>
      </c>
      <c r="V142" s="227">
        <v>3.9</v>
      </c>
    </row>
    <row r="143" spans="2:22" ht="42" customHeight="1" x14ac:dyDescent="0.25">
      <c r="B143" s="72" t="s">
        <v>4151</v>
      </c>
      <c r="C143" s="201" t="s">
        <v>2320</v>
      </c>
      <c r="D143" s="165" t="s">
        <v>4273</v>
      </c>
      <c r="E143" s="72">
        <v>0</v>
      </c>
      <c r="F143" s="72">
        <v>0</v>
      </c>
      <c r="G143" s="72" t="s">
        <v>3732</v>
      </c>
      <c r="H143" s="165" t="s">
        <v>3949</v>
      </c>
      <c r="I143" s="165" t="s">
        <v>4274</v>
      </c>
      <c r="J143" s="165" t="s">
        <v>4275</v>
      </c>
      <c r="K143" s="165" t="s">
        <v>3752</v>
      </c>
      <c r="L143" s="165" t="s">
        <v>3747</v>
      </c>
      <c r="M143" s="165" t="s">
        <v>3831</v>
      </c>
      <c r="N143" s="165" t="s">
        <v>3754</v>
      </c>
      <c r="O143" s="165" t="s">
        <v>3764</v>
      </c>
      <c r="P143" s="165" t="s">
        <v>3952</v>
      </c>
      <c r="Q143" s="165" t="s">
        <v>3755</v>
      </c>
      <c r="R143" s="227" t="s">
        <v>4095</v>
      </c>
      <c r="S143" s="227">
        <v>4.5999999999999996</v>
      </c>
      <c r="T143" s="227">
        <v>33</v>
      </c>
      <c r="U143" s="227">
        <v>28.1</v>
      </c>
      <c r="V143" s="227">
        <v>3.9</v>
      </c>
    </row>
    <row r="144" spans="2:22" ht="42" customHeight="1" x14ac:dyDescent="0.25">
      <c r="B144" s="80" t="s">
        <v>4151</v>
      </c>
      <c r="C144" s="204" t="s">
        <v>1678</v>
      </c>
      <c r="D144" s="166" t="s">
        <v>4276</v>
      </c>
      <c r="E144" s="80">
        <v>0</v>
      </c>
      <c r="F144" s="80">
        <v>0</v>
      </c>
      <c r="G144" s="80" t="s">
        <v>3732</v>
      </c>
      <c r="H144" s="166" t="s">
        <v>4165</v>
      </c>
      <c r="I144" s="166" t="s">
        <v>4277</v>
      </c>
      <c r="J144" s="166" t="s">
        <v>4278</v>
      </c>
      <c r="K144" s="166" t="s">
        <v>3752</v>
      </c>
      <c r="L144" s="166" t="s">
        <v>3747</v>
      </c>
      <c r="M144" s="166" t="s">
        <v>3831</v>
      </c>
      <c r="N144" s="166" t="s">
        <v>3754</v>
      </c>
      <c r="O144" s="166" t="s">
        <v>3764</v>
      </c>
      <c r="P144" s="166" t="s">
        <v>3952</v>
      </c>
      <c r="Q144" s="166" t="s">
        <v>3755</v>
      </c>
      <c r="R144" s="227" t="s">
        <v>4095</v>
      </c>
      <c r="S144" s="227">
        <v>5.4</v>
      </c>
      <c r="T144" s="227">
        <v>29</v>
      </c>
      <c r="U144" s="227">
        <v>24.6</v>
      </c>
      <c r="V144" s="227">
        <v>4.5999999999999996</v>
      </c>
    </row>
    <row r="145" spans="2:22" ht="42" customHeight="1" x14ac:dyDescent="0.25">
      <c r="B145" s="72" t="s">
        <v>4151</v>
      </c>
      <c r="C145" s="201" t="s">
        <v>4279</v>
      </c>
      <c r="D145" s="165" t="s">
        <v>4280</v>
      </c>
      <c r="E145" s="72">
        <v>0</v>
      </c>
      <c r="F145" s="72">
        <v>0</v>
      </c>
      <c r="G145" s="72" t="s">
        <v>3732</v>
      </c>
      <c r="H145" s="165" t="s">
        <v>4165</v>
      </c>
      <c r="I145" s="165" t="s">
        <v>4281</v>
      </c>
      <c r="J145" s="165" t="s">
        <v>4282</v>
      </c>
      <c r="K145" s="165" t="s">
        <v>3752</v>
      </c>
      <c r="L145" s="165" t="s">
        <v>3747</v>
      </c>
      <c r="M145" s="165" t="s">
        <v>3753</v>
      </c>
      <c r="N145" s="165" t="s">
        <v>3754</v>
      </c>
      <c r="O145" s="165" t="s">
        <v>3739</v>
      </c>
      <c r="P145" s="165" t="s">
        <v>3952</v>
      </c>
      <c r="Q145" s="165" t="s">
        <v>3755</v>
      </c>
      <c r="R145" s="227" t="s">
        <v>4095</v>
      </c>
      <c r="S145" s="227">
        <v>5.6</v>
      </c>
      <c r="T145" s="227">
        <v>16</v>
      </c>
      <c r="U145" s="227">
        <v>13.6</v>
      </c>
      <c r="V145" s="227">
        <v>4.8</v>
      </c>
    </row>
    <row r="146" spans="2:22" ht="42" customHeight="1" x14ac:dyDescent="0.25">
      <c r="B146" s="80" t="s">
        <v>4151</v>
      </c>
      <c r="C146" s="204" t="s">
        <v>1677</v>
      </c>
      <c r="D146" s="166" t="s">
        <v>4283</v>
      </c>
      <c r="E146" s="80">
        <v>0</v>
      </c>
      <c r="F146" s="80">
        <v>0</v>
      </c>
      <c r="G146" s="80" t="s">
        <v>3732</v>
      </c>
      <c r="H146" s="166" t="s">
        <v>4165</v>
      </c>
      <c r="I146" s="166" t="s">
        <v>4284</v>
      </c>
      <c r="J146" s="166" t="s">
        <v>4285</v>
      </c>
      <c r="K146" s="166" t="s">
        <v>3735</v>
      </c>
      <c r="L146" s="166" t="s">
        <v>3763</v>
      </c>
      <c r="M146" s="166" t="s">
        <v>3780</v>
      </c>
      <c r="N146" s="166" t="s">
        <v>3754</v>
      </c>
      <c r="O146" s="166" t="s">
        <v>3739</v>
      </c>
      <c r="P146" s="166" t="s">
        <v>3952</v>
      </c>
      <c r="Q146" s="226" t="s">
        <v>3814</v>
      </c>
      <c r="R146" s="227" t="s">
        <v>4095</v>
      </c>
      <c r="S146" s="227">
        <v>5.6</v>
      </c>
      <c r="T146" s="227">
        <v>11</v>
      </c>
      <c r="U146" s="227">
        <v>9.3000000000000007</v>
      </c>
      <c r="V146" s="227">
        <v>4.8</v>
      </c>
    </row>
    <row r="147" spans="2:22" ht="42" customHeight="1" x14ac:dyDescent="0.25">
      <c r="B147" s="72" t="s">
        <v>4151</v>
      </c>
      <c r="C147" s="201" t="s">
        <v>1719</v>
      </c>
      <c r="D147" s="165" t="s">
        <v>4286</v>
      </c>
      <c r="E147" s="72">
        <v>0</v>
      </c>
      <c r="F147" s="72">
        <v>0</v>
      </c>
      <c r="G147" s="72" t="s">
        <v>3732</v>
      </c>
      <c r="H147" s="165" t="s">
        <v>4165</v>
      </c>
      <c r="I147" s="165" t="s">
        <v>4287</v>
      </c>
      <c r="J147" s="165" t="s">
        <v>4288</v>
      </c>
      <c r="K147" s="165" t="s">
        <v>3735</v>
      </c>
      <c r="L147" s="165" t="s">
        <v>3763</v>
      </c>
      <c r="M147" s="165" t="s">
        <v>3780</v>
      </c>
      <c r="N147" s="165" t="s">
        <v>3754</v>
      </c>
      <c r="O147" s="165" t="s">
        <v>3773</v>
      </c>
      <c r="P147" s="165" t="s">
        <v>3952</v>
      </c>
      <c r="Q147" s="165" t="s">
        <v>3755</v>
      </c>
      <c r="R147" s="227" t="s">
        <v>4095</v>
      </c>
      <c r="S147" s="227">
        <v>6</v>
      </c>
      <c r="T147" s="227">
        <v>8</v>
      </c>
      <c r="U147" s="227">
        <v>6.8</v>
      </c>
      <c r="V147" s="227">
        <v>5.0999999999999996</v>
      </c>
    </row>
    <row r="148" spans="2:22" ht="42" customHeight="1" x14ac:dyDescent="0.25">
      <c r="B148" s="80" t="s">
        <v>4151</v>
      </c>
      <c r="C148" s="204" t="s">
        <v>4289</v>
      </c>
      <c r="D148" s="166" t="s">
        <v>4290</v>
      </c>
      <c r="E148" s="80">
        <v>0</v>
      </c>
      <c r="F148" s="80">
        <v>0</v>
      </c>
      <c r="G148" s="80" t="s">
        <v>3732</v>
      </c>
      <c r="H148" s="166" t="s">
        <v>4165</v>
      </c>
      <c r="I148" s="166" t="s">
        <v>4291</v>
      </c>
      <c r="J148" s="166" t="s">
        <v>4292</v>
      </c>
      <c r="K148" s="166" t="s">
        <v>3735</v>
      </c>
      <c r="L148" s="166" t="s">
        <v>3763</v>
      </c>
      <c r="M148" s="166" t="s">
        <v>3780</v>
      </c>
      <c r="N148" s="166" t="s">
        <v>3754</v>
      </c>
      <c r="O148" s="166" t="s">
        <v>3739</v>
      </c>
      <c r="P148" s="166" t="s">
        <v>3952</v>
      </c>
      <c r="Q148" s="166" t="s">
        <v>3755</v>
      </c>
      <c r="R148" s="227" t="s">
        <v>4095</v>
      </c>
      <c r="S148" s="227">
        <v>6.4</v>
      </c>
      <c r="T148" s="227">
        <v>6</v>
      </c>
      <c r="U148" s="227">
        <v>5.0999999999999996</v>
      </c>
      <c r="V148" s="227">
        <v>5.4</v>
      </c>
    </row>
    <row r="149" spans="2:22" ht="42" customHeight="1" x14ac:dyDescent="0.25">
      <c r="B149" s="72" t="s">
        <v>4151</v>
      </c>
      <c r="C149" s="201" t="s">
        <v>4293</v>
      </c>
      <c r="D149" s="165" t="s">
        <v>4294</v>
      </c>
      <c r="E149" s="72">
        <v>0</v>
      </c>
      <c r="F149" s="72">
        <v>0</v>
      </c>
      <c r="G149" s="72" t="s">
        <v>3732</v>
      </c>
      <c r="H149" s="165" t="s">
        <v>3936</v>
      </c>
      <c r="I149" s="165" t="s">
        <v>4295</v>
      </c>
      <c r="J149" s="165" t="s">
        <v>4296</v>
      </c>
      <c r="K149" s="165" t="s">
        <v>3778</v>
      </c>
      <c r="L149" s="165" t="s">
        <v>3779</v>
      </c>
      <c r="M149" s="165" t="s">
        <v>3795</v>
      </c>
      <c r="N149" s="165" t="s">
        <v>3840</v>
      </c>
      <c r="O149" s="165" t="s">
        <v>3773</v>
      </c>
      <c r="P149" s="165" t="s">
        <v>3952</v>
      </c>
      <c r="Q149" s="226" t="s">
        <v>3814</v>
      </c>
      <c r="R149" s="227" t="s">
        <v>4095</v>
      </c>
      <c r="S149" s="227">
        <v>6</v>
      </c>
      <c r="T149" s="227">
        <v>1.5</v>
      </c>
      <c r="U149" s="227">
        <v>1.3</v>
      </c>
      <c r="V149" s="227">
        <v>5.0999999999999996</v>
      </c>
    </row>
    <row r="150" spans="2:22" ht="18" customHeight="1" x14ac:dyDescent="0.25">
      <c r="B150" s="374" t="s">
        <v>4297</v>
      </c>
      <c r="C150" s="374"/>
      <c r="D150" s="374"/>
      <c r="E150" s="374"/>
      <c r="F150" s="374"/>
      <c r="G150" s="374"/>
      <c r="H150" s="374"/>
      <c r="I150" s="374"/>
      <c r="J150" s="374"/>
      <c r="K150" s="374"/>
      <c r="L150" s="374"/>
      <c r="M150" s="374"/>
      <c r="N150" s="374"/>
      <c r="O150" s="374"/>
      <c r="P150" s="374"/>
      <c r="Q150" s="374"/>
    </row>
    <row r="151" spans="2:22" ht="42" customHeight="1" x14ac:dyDescent="0.25">
      <c r="B151" s="72" t="s">
        <v>4298</v>
      </c>
      <c r="C151" s="201" t="s">
        <v>1749</v>
      </c>
      <c r="D151" s="165" t="s">
        <v>4299</v>
      </c>
      <c r="E151" s="72">
        <v>0</v>
      </c>
      <c r="F151" s="72">
        <v>0</v>
      </c>
      <c r="G151" s="72" t="s">
        <v>3732</v>
      </c>
      <c r="H151" s="165" t="s">
        <v>4024</v>
      </c>
      <c r="I151" s="165" t="s">
        <v>4300</v>
      </c>
      <c r="J151" s="165" t="s">
        <v>4301</v>
      </c>
      <c r="K151" s="165" t="s">
        <v>3752</v>
      </c>
      <c r="L151" s="165" t="s">
        <v>3747</v>
      </c>
      <c r="M151" s="165" t="s">
        <v>3780</v>
      </c>
      <c r="N151" s="165" t="s">
        <v>3754</v>
      </c>
      <c r="O151" s="165" t="s">
        <v>3764</v>
      </c>
      <c r="P151" s="165" t="s">
        <v>3952</v>
      </c>
      <c r="Q151" s="165" t="s">
        <v>3755</v>
      </c>
      <c r="R151" s="227" t="s">
        <v>3742</v>
      </c>
      <c r="S151" s="227">
        <v>3</v>
      </c>
      <c r="T151" s="227">
        <v>3</v>
      </c>
      <c r="U151" s="227">
        <v>2.5</v>
      </c>
      <c r="V151" s="227">
        <v>2.5</v>
      </c>
    </row>
    <row r="152" spans="2:22" ht="42" customHeight="1" x14ac:dyDescent="0.25">
      <c r="B152" s="80" t="s">
        <v>4298</v>
      </c>
      <c r="C152" s="204" t="s">
        <v>4302</v>
      </c>
      <c r="D152" s="166" t="s">
        <v>4303</v>
      </c>
      <c r="E152" s="80">
        <v>0</v>
      </c>
      <c r="F152" s="80">
        <v>0</v>
      </c>
      <c r="G152" s="80" t="s">
        <v>3732</v>
      </c>
      <c r="H152" s="166" t="s">
        <v>3936</v>
      </c>
      <c r="I152" s="166" t="s">
        <v>3805</v>
      </c>
      <c r="J152" s="166" t="s">
        <v>4304</v>
      </c>
      <c r="K152" s="166" t="s">
        <v>3735</v>
      </c>
      <c r="L152" s="166" t="s">
        <v>3763</v>
      </c>
      <c r="M152" s="166" t="s">
        <v>3780</v>
      </c>
      <c r="N152" s="166" t="s">
        <v>3754</v>
      </c>
      <c r="O152" s="166" t="s">
        <v>3773</v>
      </c>
      <c r="P152" s="166" t="s">
        <v>3952</v>
      </c>
      <c r="Q152" s="166" t="s">
        <v>3755</v>
      </c>
      <c r="R152" s="227" t="s">
        <v>3742</v>
      </c>
      <c r="S152" s="227">
        <v>2.6</v>
      </c>
      <c r="T152" s="227">
        <v>8</v>
      </c>
      <c r="U152" s="227">
        <v>6.8</v>
      </c>
      <c r="V152" s="227">
        <v>2.2000000000000002</v>
      </c>
    </row>
    <row r="153" spans="2:22" ht="42" customHeight="1" x14ac:dyDescent="0.25">
      <c r="B153" s="72" t="s">
        <v>4298</v>
      </c>
      <c r="C153" s="201" t="s">
        <v>2824</v>
      </c>
      <c r="D153" s="165" t="s">
        <v>4305</v>
      </c>
      <c r="E153" s="72">
        <v>0</v>
      </c>
      <c r="F153" s="72">
        <v>0</v>
      </c>
      <c r="G153" s="72" t="s">
        <v>3732</v>
      </c>
      <c r="H153" s="165" t="s">
        <v>3949</v>
      </c>
      <c r="I153" s="165" t="s">
        <v>4306</v>
      </c>
      <c r="J153" s="165" t="s">
        <v>4307</v>
      </c>
      <c r="K153" s="165" t="s">
        <v>3735</v>
      </c>
      <c r="L153" s="165" t="s">
        <v>3763</v>
      </c>
      <c r="M153" s="165" t="s">
        <v>3780</v>
      </c>
      <c r="N153" s="165" t="s">
        <v>3840</v>
      </c>
      <c r="O153" s="165" t="s">
        <v>3739</v>
      </c>
      <c r="P153" s="165" t="s">
        <v>3952</v>
      </c>
      <c r="Q153" s="165" t="s">
        <v>3755</v>
      </c>
      <c r="R153" s="227" t="s">
        <v>3742</v>
      </c>
      <c r="S153" s="227">
        <v>2.6</v>
      </c>
      <c r="T153" s="227">
        <v>11</v>
      </c>
      <c r="U153" s="227">
        <v>9.3000000000000007</v>
      </c>
      <c r="V153" s="227">
        <v>2.2000000000000002</v>
      </c>
    </row>
    <row r="154" spans="2:22" ht="42" customHeight="1" x14ac:dyDescent="0.25">
      <c r="B154" s="80" t="s">
        <v>4298</v>
      </c>
      <c r="C154" s="204" t="s">
        <v>4308</v>
      </c>
      <c r="D154" s="166" t="s">
        <v>4309</v>
      </c>
      <c r="E154" s="80">
        <v>0</v>
      </c>
      <c r="F154" s="80">
        <v>0</v>
      </c>
      <c r="G154" s="80" t="s">
        <v>3732</v>
      </c>
      <c r="H154" s="166" t="s">
        <v>3949</v>
      </c>
      <c r="I154" s="166" t="s">
        <v>4310</v>
      </c>
      <c r="J154" s="166" t="s">
        <v>4311</v>
      </c>
      <c r="K154" s="166" t="s">
        <v>3735</v>
      </c>
      <c r="L154" s="166" t="s">
        <v>3747</v>
      </c>
      <c r="M154" s="166" t="s">
        <v>3780</v>
      </c>
      <c r="N154" s="166" t="s">
        <v>3754</v>
      </c>
      <c r="O154" s="166" t="s">
        <v>3739</v>
      </c>
      <c r="P154" s="166" t="s">
        <v>3952</v>
      </c>
      <c r="Q154" s="166" t="s">
        <v>3755</v>
      </c>
      <c r="R154" s="227" t="s">
        <v>3742</v>
      </c>
      <c r="S154" s="227">
        <v>3.2</v>
      </c>
      <c r="T154" s="227">
        <v>10</v>
      </c>
      <c r="U154" s="227">
        <v>8.5</v>
      </c>
      <c r="V154" s="227">
        <v>2.7</v>
      </c>
    </row>
    <row r="155" spans="2:22" ht="42" customHeight="1" x14ac:dyDescent="0.25">
      <c r="B155" s="72" t="s">
        <v>4298</v>
      </c>
      <c r="C155" s="201" t="s">
        <v>4312</v>
      </c>
      <c r="D155" s="165" t="s">
        <v>4313</v>
      </c>
      <c r="E155" s="72">
        <v>0</v>
      </c>
      <c r="F155" s="72">
        <v>0</v>
      </c>
      <c r="G155" s="72" t="s">
        <v>3732</v>
      </c>
      <c r="H155" s="165" t="s">
        <v>3936</v>
      </c>
      <c r="I155" s="165" t="s">
        <v>4033</v>
      </c>
      <c r="J155" s="165" t="s">
        <v>4034</v>
      </c>
      <c r="K155" s="165" t="s">
        <v>3735</v>
      </c>
      <c r="L155" s="165" t="s">
        <v>3763</v>
      </c>
      <c r="M155" s="165" t="s">
        <v>3780</v>
      </c>
      <c r="N155" s="165" t="s">
        <v>3754</v>
      </c>
      <c r="O155" s="165" t="s">
        <v>3773</v>
      </c>
      <c r="P155" s="165" t="s">
        <v>3952</v>
      </c>
      <c r="Q155" s="165" t="s">
        <v>3755</v>
      </c>
      <c r="R155" s="227" t="s">
        <v>3742</v>
      </c>
      <c r="S155" s="227">
        <v>2.6</v>
      </c>
      <c r="T155" s="227">
        <v>9.5</v>
      </c>
      <c r="U155" s="227">
        <v>8.1</v>
      </c>
      <c r="V155" s="227">
        <v>2.2000000000000002</v>
      </c>
    </row>
    <row r="156" spans="2:22" ht="42" customHeight="1" x14ac:dyDescent="0.25">
      <c r="B156" s="80" t="s">
        <v>4298</v>
      </c>
      <c r="C156" s="204" t="s">
        <v>3111</v>
      </c>
      <c r="D156" s="166" t="s">
        <v>4314</v>
      </c>
      <c r="E156" s="80">
        <v>0</v>
      </c>
      <c r="F156" s="80">
        <v>0</v>
      </c>
      <c r="G156" s="80" t="s">
        <v>3732</v>
      </c>
      <c r="H156" s="166" t="s">
        <v>3936</v>
      </c>
      <c r="I156" s="166" t="s">
        <v>4315</v>
      </c>
      <c r="J156" s="166" t="s">
        <v>4316</v>
      </c>
      <c r="K156" s="166" t="s">
        <v>3735</v>
      </c>
      <c r="L156" s="166" t="s">
        <v>3763</v>
      </c>
      <c r="M156" s="166" t="s">
        <v>3780</v>
      </c>
      <c r="N156" s="166" t="s">
        <v>3754</v>
      </c>
      <c r="O156" s="166" t="s">
        <v>3773</v>
      </c>
      <c r="P156" s="166" t="s">
        <v>3952</v>
      </c>
      <c r="Q156" s="166" t="s">
        <v>3755</v>
      </c>
      <c r="R156" s="227" t="s">
        <v>3742</v>
      </c>
      <c r="S156" s="227">
        <v>2.4</v>
      </c>
      <c r="T156" s="227">
        <v>9</v>
      </c>
      <c r="U156" s="227">
        <v>7.6</v>
      </c>
      <c r="V156" s="227">
        <v>2</v>
      </c>
    </row>
    <row r="157" spans="2:22" ht="42" customHeight="1" x14ac:dyDescent="0.25">
      <c r="B157" s="72" t="s">
        <v>4298</v>
      </c>
      <c r="C157" s="201" t="s">
        <v>4317</v>
      </c>
      <c r="D157" s="165" t="s">
        <v>4318</v>
      </c>
      <c r="E157" s="72">
        <v>0</v>
      </c>
      <c r="F157" s="72">
        <v>0</v>
      </c>
      <c r="G157" s="72" t="s">
        <v>3732</v>
      </c>
      <c r="H157" s="165" t="s">
        <v>3949</v>
      </c>
      <c r="I157" s="165" t="s">
        <v>4319</v>
      </c>
      <c r="J157" s="165" t="s">
        <v>4320</v>
      </c>
      <c r="K157" s="165" t="s">
        <v>3735</v>
      </c>
      <c r="L157" s="165" t="s">
        <v>3747</v>
      </c>
      <c r="M157" s="165" t="s">
        <v>3753</v>
      </c>
      <c r="N157" s="165" t="s">
        <v>3840</v>
      </c>
      <c r="O157" s="165" t="s">
        <v>3739</v>
      </c>
      <c r="P157" s="165" t="s">
        <v>3952</v>
      </c>
      <c r="Q157" s="165" t="s">
        <v>3755</v>
      </c>
      <c r="R157" s="227" t="s">
        <v>3742</v>
      </c>
      <c r="S157" s="227">
        <v>2.8</v>
      </c>
      <c r="T157" s="227">
        <v>14</v>
      </c>
      <c r="U157" s="227">
        <v>11.9</v>
      </c>
      <c r="V157" s="227">
        <v>2.4</v>
      </c>
    </row>
    <row r="158" spans="2:22" ht="42" customHeight="1" x14ac:dyDescent="0.25">
      <c r="B158" s="80" t="s">
        <v>4298</v>
      </c>
      <c r="C158" s="204" t="s">
        <v>4321</v>
      </c>
      <c r="D158" s="166" t="s">
        <v>4322</v>
      </c>
      <c r="E158" s="80">
        <v>0</v>
      </c>
      <c r="F158" s="80">
        <v>0</v>
      </c>
      <c r="G158" s="80" t="s">
        <v>3732</v>
      </c>
      <c r="H158" s="166" t="s">
        <v>4024</v>
      </c>
      <c r="I158" s="166" t="s">
        <v>4323</v>
      </c>
      <c r="J158" s="166" t="s">
        <v>4324</v>
      </c>
      <c r="K158" s="166" t="s">
        <v>3752</v>
      </c>
      <c r="L158" s="166" t="s">
        <v>3747</v>
      </c>
      <c r="M158" s="166" t="s">
        <v>3831</v>
      </c>
      <c r="N158" s="166" t="s">
        <v>3754</v>
      </c>
      <c r="O158" s="166" t="s">
        <v>3739</v>
      </c>
      <c r="P158" s="166" t="s">
        <v>3952</v>
      </c>
      <c r="Q158" s="166" t="s">
        <v>3755</v>
      </c>
      <c r="R158" s="227" t="s">
        <v>3742</v>
      </c>
      <c r="S158" s="227">
        <v>3.2</v>
      </c>
      <c r="T158" s="227">
        <v>28</v>
      </c>
      <c r="U158" s="227">
        <v>23.8</v>
      </c>
      <c r="V158" s="227">
        <v>2.7</v>
      </c>
    </row>
    <row r="159" spans="2:22" ht="42" customHeight="1" x14ac:dyDescent="0.25">
      <c r="B159" s="72" t="s">
        <v>4298</v>
      </c>
      <c r="C159" s="201" t="s">
        <v>4325</v>
      </c>
      <c r="D159" s="165" t="s">
        <v>4326</v>
      </c>
      <c r="E159" s="72">
        <v>0</v>
      </c>
      <c r="F159" s="72">
        <v>0</v>
      </c>
      <c r="G159" s="72" t="s">
        <v>3732</v>
      </c>
      <c r="H159" s="165" t="s">
        <v>3936</v>
      </c>
      <c r="I159" s="165" t="s">
        <v>4327</v>
      </c>
      <c r="J159" s="165" t="s">
        <v>4328</v>
      </c>
      <c r="K159" s="165" t="s">
        <v>3735</v>
      </c>
      <c r="L159" s="165" t="s">
        <v>3763</v>
      </c>
      <c r="M159" s="165" t="s">
        <v>3753</v>
      </c>
      <c r="N159" s="165" t="s">
        <v>3754</v>
      </c>
      <c r="O159" s="165" t="s">
        <v>3739</v>
      </c>
      <c r="P159" s="165" t="s">
        <v>3952</v>
      </c>
      <c r="Q159" s="165" t="s">
        <v>3755</v>
      </c>
      <c r="R159" s="227" t="s">
        <v>3742</v>
      </c>
      <c r="S159" s="227">
        <v>3.2</v>
      </c>
      <c r="T159" s="227">
        <v>52</v>
      </c>
      <c r="U159" s="227">
        <v>44.2</v>
      </c>
      <c r="V159" s="227">
        <v>2.7</v>
      </c>
    </row>
    <row r="160" spans="2:22" ht="42" customHeight="1" x14ac:dyDescent="0.25">
      <c r="B160" s="80" t="s">
        <v>4298</v>
      </c>
      <c r="C160" s="204" t="s">
        <v>4329</v>
      </c>
      <c r="D160" s="166" t="s">
        <v>4330</v>
      </c>
      <c r="E160" s="80">
        <v>0</v>
      </c>
      <c r="F160" s="80">
        <v>0</v>
      </c>
      <c r="G160" s="80" t="s">
        <v>3732</v>
      </c>
      <c r="H160" s="166" t="s">
        <v>2348</v>
      </c>
      <c r="I160" s="166" t="s">
        <v>4331</v>
      </c>
      <c r="J160" s="166" t="s">
        <v>4332</v>
      </c>
      <c r="K160" s="166" t="s">
        <v>3735</v>
      </c>
      <c r="L160" s="166" t="s">
        <v>3736</v>
      </c>
      <c r="M160" s="166" t="s">
        <v>3737</v>
      </c>
      <c r="N160" s="166" t="s">
        <v>3738</v>
      </c>
      <c r="O160" s="166" t="s">
        <v>3739</v>
      </c>
      <c r="P160" s="166" t="s">
        <v>3740</v>
      </c>
      <c r="Q160" s="226" t="s">
        <v>3741</v>
      </c>
      <c r="R160" s="227" t="s">
        <v>3742</v>
      </c>
      <c r="S160" s="227">
        <v>2.2000000000000002</v>
      </c>
      <c r="T160" s="227">
        <v>161</v>
      </c>
      <c r="U160" s="227">
        <v>136.80000000000001</v>
      </c>
      <c r="V160" s="227">
        <v>1.9</v>
      </c>
    </row>
    <row r="161" spans="2:22" ht="18" customHeight="1" x14ac:dyDescent="0.25">
      <c r="B161" s="374" t="s">
        <v>4333</v>
      </c>
      <c r="C161" s="374"/>
      <c r="D161" s="374"/>
      <c r="E161" s="374"/>
      <c r="F161" s="374"/>
      <c r="G161" s="374"/>
      <c r="H161" s="374"/>
      <c r="I161" s="374"/>
      <c r="J161" s="374"/>
      <c r="K161" s="374"/>
      <c r="L161" s="374"/>
      <c r="M161" s="374"/>
      <c r="N161" s="374"/>
      <c r="O161" s="374"/>
      <c r="P161" s="374"/>
      <c r="Q161" s="374"/>
    </row>
    <row r="162" spans="2:22" ht="42" customHeight="1" x14ac:dyDescent="0.25">
      <c r="B162" s="80" t="s">
        <v>4334</v>
      </c>
      <c r="C162" s="204" t="s">
        <v>4335</v>
      </c>
      <c r="D162" s="166" t="s">
        <v>4336</v>
      </c>
      <c r="E162" s="80">
        <v>0</v>
      </c>
      <c r="F162" s="80">
        <v>0</v>
      </c>
      <c r="G162" s="80" t="s">
        <v>3732</v>
      </c>
      <c r="H162" s="166" t="s">
        <v>2348</v>
      </c>
      <c r="I162" s="166" t="s">
        <v>4056</v>
      </c>
      <c r="J162" s="166" t="s">
        <v>4337</v>
      </c>
      <c r="K162" s="166" t="s">
        <v>3778</v>
      </c>
      <c r="L162" s="166" t="s">
        <v>3736</v>
      </c>
      <c r="M162" s="166" t="s">
        <v>3737</v>
      </c>
      <c r="N162" s="166" t="s">
        <v>3738</v>
      </c>
      <c r="O162" s="166" t="s">
        <v>3739</v>
      </c>
      <c r="P162" s="166" t="s">
        <v>3740</v>
      </c>
      <c r="Q162" s="226" t="s">
        <v>3741</v>
      </c>
      <c r="R162" s="227" t="s">
        <v>3742</v>
      </c>
      <c r="S162" s="227">
        <v>10</v>
      </c>
      <c r="T162" s="227">
        <v>152</v>
      </c>
      <c r="U162" s="227">
        <v>129.19999999999999</v>
      </c>
      <c r="V162" s="227">
        <v>8.5</v>
      </c>
    </row>
    <row r="163" spans="2:22" ht="42" customHeight="1" x14ac:dyDescent="0.25">
      <c r="B163" s="72" t="s">
        <v>4334</v>
      </c>
      <c r="C163" s="201" t="s">
        <v>4338</v>
      </c>
      <c r="D163" s="165" t="s">
        <v>4339</v>
      </c>
      <c r="E163" s="72">
        <v>0</v>
      </c>
      <c r="F163" s="72">
        <v>0</v>
      </c>
      <c r="G163" s="72" t="s">
        <v>3732</v>
      </c>
      <c r="H163" s="165" t="s">
        <v>4024</v>
      </c>
      <c r="I163" s="165" t="s">
        <v>4340</v>
      </c>
      <c r="J163" s="165" t="s">
        <v>4341</v>
      </c>
      <c r="K163" s="165" t="s">
        <v>3735</v>
      </c>
      <c r="L163" s="165" t="s">
        <v>3763</v>
      </c>
      <c r="M163" s="165" t="s">
        <v>3753</v>
      </c>
      <c r="N163" s="165" t="s">
        <v>3754</v>
      </c>
      <c r="O163" s="165" t="s">
        <v>3739</v>
      </c>
      <c r="P163" s="165" t="s">
        <v>3740</v>
      </c>
      <c r="Q163" s="226" t="s">
        <v>3781</v>
      </c>
      <c r="R163" s="227" t="s">
        <v>3742</v>
      </c>
      <c r="S163" s="227">
        <v>16</v>
      </c>
      <c r="T163" s="227">
        <v>127</v>
      </c>
      <c r="U163" s="227">
        <v>108</v>
      </c>
      <c r="V163" s="227">
        <v>13.6</v>
      </c>
    </row>
    <row r="164" spans="2:22" ht="42" customHeight="1" x14ac:dyDescent="0.25">
      <c r="B164" s="80" t="s">
        <v>4334</v>
      </c>
      <c r="C164" s="204" t="s">
        <v>4342</v>
      </c>
      <c r="D164" s="166" t="s">
        <v>4343</v>
      </c>
      <c r="E164" s="80">
        <v>0</v>
      </c>
      <c r="F164" s="80">
        <v>0</v>
      </c>
      <c r="G164" s="80" t="s">
        <v>3732</v>
      </c>
      <c r="H164" s="166" t="s">
        <v>4024</v>
      </c>
      <c r="I164" s="166" t="s">
        <v>4344</v>
      </c>
      <c r="J164" s="166" t="s">
        <v>4345</v>
      </c>
      <c r="K164" s="166" t="s">
        <v>3735</v>
      </c>
      <c r="L164" s="166" t="s">
        <v>3747</v>
      </c>
      <c r="M164" s="166" t="s">
        <v>3753</v>
      </c>
      <c r="N164" s="166" t="s">
        <v>3754</v>
      </c>
      <c r="O164" s="166" t="s">
        <v>3773</v>
      </c>
      <c r="P164" s="166" t="s">
        <v>3740</v>
      </c>
      <c r="Q164" s="166" t="s">
        <v>3755</v>
      </c>
      <c r="R164" s="227" t="s">
        <v>3742</v>
      </c>
      <c r="S164" s="227">
        <v>18.5</v>
      </c>
      <c r="T164" s="227">
        <v>110</v>
      </c>
      <c r="U164" s="227">
        <v>93.5</v>
      </c>
      <c r="V164" s="227">
        <v>15.7</v>
      </c>
    </row>
    <row r="165" spans="2:22" ht="42" customHeight="1" x14ac:dyDescent="0.25">
      <c r="B165" s="72" t="s">
        <v>4334</v>
      </c>
      <c r="C165" s="201" t="s">
        <v>4346</v>
      </c>
      <c r="D165" s="165" t="s">
        <v>4347</v>
      </c>
      <c r="E165" s="72">
        <v>0</v>
      </c>
      <c r="F165" s="72">
        <v>0</v>
      </c>
      <c r="G165" s="72" t="s">
        <v>3732</v>
      </c>
      <c r="H165" s="165" t="s">
        <v>4024</v>
      </c>
      <c r="I165" s="165" t="s">
        <v>4348</v>
      </c>
      <c r="J165" s="165" t="s">
        <v>4349</v>
      </c>
      <c r="K165" s="165" t="s">
        <v>3735</v>
      </c>
      <c r="L165" s="165" t="s">
        <v>3747</v>
      </c>
      <c r="M165" s="165" t="s">
        <v>3753</v>
      </c>
      <c r="N165" s="165" t="s">
        <v>3754</v>
      </c>
      <c r="O165" s="165" t="s">
        <v>3773</v>
      </c>
      <c r="P165" s="165" t="s">
        <v>3740</v>
      </c>
      <c r="Q165" s="165" t="s">
        <v>3755</v>
      </c>
      <c r="R165" s="227" t="s">
        <v>3742</v>
      </c>
      <c r="S165" s="227">
        <v>19</v>
      </c>
      <c r="T165" s="227">
        <v>105</v>
      </c>
      <c r="U165" s="227">
        <v>89.2</v>
      </c>
      <c r="V165" s="227">
        <v>16.100000000000001</v>
      </c>
    </row>
    <row r="166" spans="2:22" ht="42" customHeight="1" x14ac:dyDescent="0.25">
      <c r="B166" s="80" t="s">
        <v>4334</v>
      </c>
      <c r="C166" s="204" t="s">
        <v>1747</v>
      </c>
      <c r="D166" s="166" t="s">
        <v>4350</v>
      </c>
      <c r="E166" s="80">
        <v>0</v>
      </c>
      <c r="F166" s="80">
        <v>0</v>
      </c>
      <c r="G166" s="80" t="s">
        <v>3732</v>
      </c>
      <c r="H166" s="166" t="s">
        <v>4024</v>
      </c>
      <c r="I166" s="166" t="s">
        <v>4351</v>
      </c>
      <c r="J166" s="166" t="s">
        <v>4352</v>
      </c>
      <c r="K166" s="166" t="s">
        <v>3735</v>
      </c>
      <c r="L166" s="166" t="s">
        <v>3747</v>
      </c>
      <c r="M166" s="166" t="s">
        <v>3753</v>
      </c>
      <c r="N166" s="166" t="s">
        <v>3754</v>
      </c>
      <c r="O166" s="166" t="s">
        <v>3773</v>
      </c>
      <c r="P166" s="166" t="s">
        <v>3740</v>
      </c>
      <c r="Q166" s="166" t="s">
        <v>3755</v>
      </c>
      <c r="R166" s="227" t="s">
        <v>3742</v>
      </c>
      <c r="S166" s="227">
        <v>19.5</v>
      </c>
      <c r="T166" s="227">
        <v>102</v>
      </c>
      <c r="U166" s="227">
        <v>86.7</v>
      </c>
      <c r="V166" s="227">
        <v>16.600000000000001</v>
      </c>
    </row>
    <row r="167" spans="2:22" ht="42" customHeight="1" x14ac:dyDescent="0.25">
      <c r="B167" s="72" t="s">
        <v>4334</v>
      </c>
      <c r="C167" s="201" t="s">
        <v>2358</v>
      </c>
      <c r="D167" s="165" t="s">
        <v>4353</v>
      </c>
      <c r="E167" s="72">
        <v>0</v>
      </c>
      <c r="F167" s="72">
        <v>0</v>
      </c>
      <c r="G167" s="72" t="s">
        <v>3732</v>
      </c>
      <c r="H167" s="165" t="s">
        <v>4024</v>
      </c>
      <c r="I167" s="165" t="s">
        <v>4354</v>
      </c>
      <c r="J167" s="165" t="s">
        <v>4355</v>
      </c>
      <c r="K167" s="165" t="s">
        <v>3735</v>
      </c>
      <c r="L167" s="165" t="s">
        <v>3763</v>
      </c>
      <c r="M167" s="165" t="s">
        <v>3780</v>
      </c>
      <c r="N167" s="165" t="s">
        <v>3754</v>
      </c>
      <c r="O167" s="165" t="s">
        <v>3773</v>
      </c>
      <c r="P167" s="165" t="s">
        <v>3740</v>
      </c>
      <c r="Q167" s="226" t="s">
        <v>3781</v>
      </c>
      <c r="R167" s="227" t="s">
        <v>3742</v>
      </c>
      <c r="S167" s="227">
        <v>20</v>
      </c>
      <c r="T167" s="227">
        <v>99</v>
      </c>
      <c r="U167" s="227">
        <v>84.1</v>
      </c>
      <c r="V167" s="227">
        <v>17</v>
      </c>
    </row>
    <row r="168" spans="2:22" ht="42" customHeight="1" x14ac:dyDescent="0.25">
      <c r="B168" s="80" t="s">
        <v>4334</v>
      </c>
      <c r="C168" s="204" t="s">
        <v>4356</v>
      </c>
      <c r="D168" s="166" t="s">
        <v>4357</v>
      </c>
      <c r="E168" s="80">
        <v>0</v>
      </c>
      <c r="F168" s="80">
        <v>0</v>
      </c>
      <c r="G168" s="80" t="s">
        <v>3732</v>
      </c>
      <c r="H168" s="166" t="s">
        <v>4024</v>
      </c>
      <c r="I168" s="166" t="s">
        <v>4083</v>
      </c>
      <c r="J168" s="166" t="s">
        <v>4358</v>
      </c>
      <c r="K168" s="166" t="s">
        <v>3752</v>
      </c>
      <c r="L168" s="166" t="s">
        <v>3747</v>
      </c>
      <c r="M168" s="166" t="s">
        <v>3780</v>
      </c>
      <c r="N168" s="166" t="s">
        <v>3790</v>
      </c>
      <c r="O168" s="166" t="s">
        <v>3739</v>
      </c>
      <c r="P168" s="166" t="s">
        <v>3740</v>
      </c>
      <c r="Q168" s="166" t="s">
        <v>3755</v>
      </c>
      <c r="R168" s="227" t="s">
        <v>3742</v>
      </c>
      <c r="S168" s="227">
        <v>21.5</v>
      </c>
      <c r="T168" s="227">
        <v>94</v>
      </c>
      <c r="U168" s="227">
        <v>79.900000000000006</v>
      </c>
      <c r="V168" s="227">
        <v>18.3</v>
      </c>
    </row>
    <row r="169" spans="2:22" ht="42" customHeight="1" x14ac:dyDescent="0.25">
      <c r="B169" s="72" t="s">
        <v>4334</v>
      </c>
      <c r="C169" s="201" t="s">
        <v>4359</v>
      </c>
      <c r="D169" s="165" t="s">
        <v>4360</v>
      </c>
      <c r="E169" s="72">
        <v>0</v>
      </c>
      <c r="F169" s="72">
        <v>0</v>
      </c>
      <c r="G169" s="72" t="s">
        <v>3732</v>
      </c>
      <c r="H169" s="165" t="s">
        <v>4024</v>
      </c>
      <c r="I169" s="165" t="s">
        <v>4087</v>
      </c>
      <c r="J169" s="165" t="s">
        <v>4361</v>
      </c>
      <c r="K169" s="165" t="s">
        <v>3778</v>
      </c>
      <c r="L169" s="165" t="s">
        <v>3779</v>
      </c>
      <c r="M169" s="165" t="s">
        <v>3795</v>
      </c>
      <c r="N169" s="165" t="s">
        <v>3790</v>
      </c>
      <c r="O169" s="165" t="s">
        <v>3773</v>
      </c>
      <c r="P169" s="165" t="s">
        <v>3740</v>
      </c>
      <c r="Q169" s="165" t="s">
        <v>3755</v>
      </c>
      <c r="R169" s="227" t="s">
        <v>3742</v>
      </c>
      <c r="S169" s="227">
        <v>23</v>
      </c>
      <c r="T169" s="227">
        <v>87</v>
      </c>
      <c r="U169" s="227">
        <v>74</v>
      </c>
      <c r="V169" s="227">
        <v>19.600000000000001</v>
      </c>
    </row>
    <row r="170" spans="2:22" ht="18" customHeight="1" x14ac:dyDescent="0.25">
      <c r="B170" s="374" t="s">
        <v>4362</v>
      </c>
      <c r="C170" s="374"/>
      <c r="D170" s="374"/>
      <c r="E170" s="374"/>
      <c r="F170" s="374"/>
      <c r="G170" s="374"/>
      <c r="H170" s="374"/>
      <c r="I170" s="374"/>
      <c r="J170" s="374"/>
      <c r="K170" s="374"/>
      <c r="L170" s="374"/>
      <c r="M170" s="374"/>
      <c r="N170" s="374"/>
      <c r="O170" s="374"/>
      <c r="P170" s="374"/>
      <c r="Q170" s="374"/>
    </row>
    <row r="171" spans="2:22" ht="42" customHeight="1" x14ac:dyDescent="0.25">
      <c r="B171" s="72" t="s">
        <v>4363</v>
      </c>
      <c r="C171" s="201" t="s">
        <v>4364</v>
      </c>
      <c r="D171" s="165" t="s">
        <v>4365</v>
      </c>
      <c r="E171" s="72">
        <v>0</v>
      </c>
      <c r="F171" s="72">
        <v>0</v>
      </c>
      <c r="G171" s="72" t="s">
        <v>3732</v>
      </c>
      <c r="H171" s="165" t="s">
        <v>3867</v>
      </c>
      <c r="I171" s="165" t="s">
        <v>4366</v>
      </c>
      <c r="J171" s="165" t="s">
        <v>4367</v>
      </c>
      <c r="K171" s="165" t="s">
        <v>3735</v>
      </c>
      <c r="L171" s="165" t="s">
        <v>3747</v>
      </c>
      <c r="M171" s="165" t="s">
        <v>3780</v>
      </c>
      <c r="N171" s="165" t="s">
        <v>3754</v>
      </c>
      <c r="O171" s="165" t="s">
        <v>3773</v>
      </c>
      <c r="P171" s="165" t="s">
        <v>3740</v>
      </c>
      <c r="Q171" s="165" t="s">
        <v>3755</v>
      </c>
      <c r="R171" s="227" t="s">
        <v>4095</v>
      </c>
      <c r="S171" s="227">
        <v>23</v>
      </c>
      <c r="T171" s="227">
        <v>92</v>
      </c>
      <c r="U171" s="227">
        <v>78.2</v>
      </c>
      <c r="V171" s="227">
        <v>19.600000000000001</v>
      </c>
    </row>
    <row r="172" spans="2:22" ht="42" customHeight="1" x14ac:dyDescent="0.25">
      <c r="B172" s="80" t="s">
        <v>4363</v>
      </c>
      <c r="C172" s="204" t="s">
        <v>4368</v>
      </c>
      <c r="D172" s="166" t="s">
        <v>4369</v>
      </c>
      <c r="E172" s="80">
        <v>0</v>
      </c>
      <c r="F172" s="80">
        <v>0</v>
      </c>
      <c r="G172" s="80" t="s">
        <v>3732</v>
      </c>
      <c r="H172" s="166" t="s">
        <v>3855</v>
      </c>
      <c r="I172" s="166" t="s">
        <v>4370</v>
      </c>
      <c r="J172" s="166" t="s">
        <v>4371</v>
      </c>
      <c r="K172" s="166" t="s">
        <v>3735</v>
      </c>
      <c r="L172" s="166" t="s">
        <v>3763</v>
      </c>
      <c r="M172" s="166" t="s">
        <v>3780</v>
      </c>
      <c r="N172" s="166" t="s">
        <v>3754</v>
      </c>
      <c r="O172" s="166" t="s">
        <v>3773</v>
      </c>
      <c r="P172" s="166" t="s">
        <v>3740</v>
      </c>
      <c r="Q172" s="166" t="s">
        <v>3755</v>
      </c>
      <c r="R172" s="227" t="s">
        <v>4095</v>
      </c>
      <c r="S172" s="227">
        <v>22</v>
      </c>
      <c r="T172" s="227">
        <v>99</v>
      </c>
      <c r="U172" s="227">
        <v>84.1</v>
      </c>
      <c r="V172" s="227">
        <v>18.7</v>
      </c>
    </row>
    <row r="173" spans="2:22" ht="42" customHeight="1" x14ac:dyDescent="0.25">
      <c r="B173" s="72" t="s">
        <v>4363</v>
      </c>
      <c r="C173" s="201" t="s">
        <v>1858</v>
      </c>
      <c r="D173" s="165" t="s">
        <v>4372</v>
      </c>
      <c r="E173" s="72">
        <v>0</v>
      </c>
      <c r="F173" s="72">
        <v>0</v>
      </c>
      <c r="G173" s="72" t="s">
        <v>3732</v>
      </c>
      <c r="H173" s="165" t="s">
        <v>3800</v>
      </c>
      <c r="I173" s="165" t="s">
        <v>4373</v>
      </c>
      <c r="J173" s="165" t="s">
        <v>4374</v>
      </c>
      <c r="K173" s="165" t="s">
        <v>3752</v>
      </c>
      <c r="L173" s="165" t="s">
        <v>3747</v>
      </c>
      <c r="M173" s="165" t="s">
        <v>3753</v>
      </c>
      <c r="N173" s="165" t="s">
        <v>3754</v>
      </c>
      <c r="O173" s="165" t="s">
        <v>3739</v>
      </c>
      <c r="P173" s="165" t="s">
        <v>3740</v>
      </c>
      <c r="Q173" s="165" t="s">
        <v>3755</v>
      </c>
      <c r="R173" s="227" t="s">
        <v>4095</v>
      </c>
      <c r="S173" s="227">
        <v>21</v>
      </c>
      <c r="T173" s="227">
        <v>103</v>
      </c>
      <c r="U173" s="227">
        <v>87.5</v>
      </c>
      <c r="V173" s="227">
        <v>17.8</v>
      </c>
    </row>
    <row r="174" spans="2:22" ht="42" customHeight="1" x14ac:dyDescent="0.25">
      <c r="B174" s="80" t="s">
        <v>4363</v>
      </c>
      <c r="C174" s="204" t="s">
        <v>4375</v>
      </c>
      <c r="D174" s="166" t="s">
        <v>4376</v>
      </c>
      <c r="E174" s="80">
        <v>0</v>
      </c>
      <c r="F174" s="80">
        <v>0</v>
      </c>
      <c r="G174" s="80" t="s">
        <v>3732</v>
      </c>
      <c r="H174" s="166" t="s">
        <v>3915</v>
      </c>
      <c r="I174" s="166" t="s">
        <v>4377</v>
      </c>
      <c r="J174" s="166" t="s">
        <v>4378</v>
      </c>
      <c r="K174" s="166" t="s">
        <v>3752</v>
      </c>
      <c r="L174" s="166" t="s">
        <v>3747</v>
      </c>
      <c r="M174" s="166" t="s">
        <v>3753</v>
      </c>
      <c r="N174" s="166" t="s">
        <v>3754</v>
      </c>
      <c r="O174" s="166" t="s">
        <v>3739</v>
      </c>
      <c r="P174" s="166" t="s">
        <v>3740</v>
      </c>
      <c r="Q174" s="166" t="s">
        <v>3755</v>
      </c>
      <c r="R174" s="227" t="s">
        <v>4095</v>
      </c>
      <c r="S174" s="227">
        <v>20.5</v>
      </c>
      <c r="T174" s="227">
        <v>106</v>
      </c>
      <c r="U174" s="227">
        <v>90.1</v>
      </c>
      <c r="V174" s="227">
        <v>17.399999999999999</v>
      </c>
    </row>
    <row r="175" spans="2:22" ht="42" customHeight="1" x14ac:dyDescent="0.25">
      <c r="B175" s="72" t="s">
        <v>4363</v>
      </c>
      <c r="C175" s="201" t="s">
        <v>4379</v>
      </c>
      <c r="D175" s="165" t="s">
        <v>4380</v>
      </c>
      <c r="E175" s="72">
        <v>0</v>
      </c>
      <c r="F175" s="72">
        <v>0</v>
      </c>
      <c r="G175" s="72" t="s">
        <v>3732</v>
      </c>
      <c r="H175" s="165" t="s">
        <v>3800</v>
      </c>
      <c r="I175" s="165" t="s">
        <v>4381</v>
      </c>
      <c r="J175" s="165" t="s">
        <v>4382</v>
      </c>
      <c r="K175" s="165" t="s">
        <v>3752</v>
      </c>
      <c r="L175" s="165" t="s">
        <v>3747</v>
      </c>
      <c r="M175" s="165" t="s">
        <v>3753</v>
      </c>
      <c r="N175" s="165" t="s">
        <v>3754</v>
      </c>
      <c r="O175" s="165" t="s">
        <v>3739</v>
      </c>
      <c r="P175" s="165" t="s">
        <v>3740</v>
      </c>
      <c r="Q175" s="165" t="s">
        <v>3755</v>
      </c>
      <c r="R175" s="227" t="s">
        <v>4095</v>
      </c>
      <c r="S175" s="227">
        <v>20</v>
      </c>
      <c r="T175" s="227">
        <v>109</v>
      </c>
      <c r="U175" s="227">
        <v>92.6</v>
      </c>
      <c r="V175" s="227">
        <v>17</v>
      </c>
    </row>
    <row r="176" spans="2:22" ht="42" customHeight="1" x14ac:dyDescent="0.25">
      <c r="B176" s="80" t="s">
        <v>4363</v>
      </c>
      <c r="C176" s="204" t="s">
        <v>4383</v>
      </c>
      <c r="D176" s="166" t="s">
        <v>4384</v>
      </c>
      <c r="E176" s="80">
        <v>0</v>
      </c>
      <c r="F176" s="80">
        <v>0</v>
      </c>
      <c r="G176" s="80" t="s">
        <v>3732</v>
      </c>
      <c r="H176" s="166" t="s">
        <v>3855</v>
      </c>
      <c r="I176" s="166" t="s">
        <v>4385</v>
      </c>
      <c r="J176" s="166" t="s">
        <v>4386</v>
      </c>
      <c r="K176" s="166" t="s">
        <v>3735</v>
      </c>
      <c r="L176" s="166" t="s">
        <v>3763</v>
      </c>
      <c r="M176" s="166" t="s">
        <v>3753</v>
      </c>
      <c r="N176" s="166" t="s">
        <v>3754</v>
      </c>
      <c r="O176" s="166" t="s">
        <v>3739</v>
      </c>
      <c r="P176" s="166" t="s">
        <v>3740</v>
      </c>
      <c r="Q176" s="166" t="s">
        <v>3755</v>
      </c>
      <c r="R176" s="227" t="s">
        <v>4095</v>
      </c>
      <c r="S176" s="227">
        <v>17.5</v>
      </c>
      <c r="T176" s="227">
        <v>129</v>
      </c>
      <c r="U176" s="227">
        <v>109.6</v>
      </c>
      <c r="V176" s="227">
        <v>14.9</v>
      </c>
    </row>
    <row r="177" spans="2:22" ht="42" customHeight="1" x14ac:dyDescent="0.25">
      <c r="B177" s="72" t="s">
        <v>4363</v>
      </c>
      <c r="C177" s="201" t="s">
        <v>2161</v>
      </c>
      <c r="D177" s="165" t="s">
        <v>4387</v>
      </c>
      <c r="E177" s="72">
        <v>0</v>
      </c>
      <c r="F177" s="72">
        <v>0</v>
      </c>
      <c r="G177" s="72" t="s">
        <v>3732</v>
      </c>
      <c r="H177" s="165" t="s">
        <v>3855</v>
      </c>
      <c r="I177" s="165" t="s">
        <v>4388</v>
      </c>
      <c r="J177" s="165" t="s">
        <v>4389</v>
      </c>
      <c r="K177" s="165" t="s">
        <v>3752</v>
      </c>
      <c r="L177" s="165" t="s">
        <v>3763</v>
      </c>
      <c r="M177" s="165" t="s">
        <v>3831</v>
      </c>
      <c r="N177" s="165" t="s">
        <v>3754</v>
      </c>
      <c r="O177" s="165" t="s">
        <v>3764</v>
      </c>
      <c r="P177" s="165" t="s">
        <v>3740</v>
      </c>
      <c r="Q177" s="165" t="s">
        <v>3755</v>
      </c>
      <c r="R177" s="227" t="s">
        <v>4095</v>
      </c>
      <c r="S177" s="227">
        <v>14.5</v>
      </c>
      <c r="T177" s="227">
        <v>163</v>
      </c>
      <c r="U177" s="227">
        <v>138.5</v>
      </c>
      <c r="V177" s="227">
        <v>12.3</v>
      </c>
    </row>
    <row r="178" spans="2:22" ht="42" customHeight="1" x14ac:dyDescent="0.25">
      <c r="B178" s="80" t="s">
        <v>4363</v>
      </c>
      <c r="C178" s="204" t="s">
        <v>4390</v>
      </c>
      <c r="D178" s="166" t="s">
        <v>4391</v>
      </c>
      <c r="E178" s="80">
        <v>0</v>
      </c>
      <c r="F178" s="80">
        <v>0</v>
      </c>
      <c r="G178" s="80" t="s">
        <v>3732</v>
      </c>
      <c r="H178" s="166" t="s">
        <v>3855</v>
      </c>
      <c r="I178" s="166" t="s">
        <v>4392</v>
      </c>
      <c r="J178" s="166" t="s">
        <v>4393</v>
      </c>
      <c r="K178" s="166" t="s">
        <v>3752</v>
      </c>
      <c r="L178" s="166" t="s">
        <v>3747</v>
      </c>
      <c r="M178" s="166" t="s">
        <v>3737</v>
      </c>
      <c r="N178" s="166" t="s">
        <v>3754</v>
      </c>
      <c r="O178" s="166" t="s">
        <v>3764</v>
      </c>
      <c r="P178" s="166" t="s">
        <v>3740</v>
      </c>
      <c r="Q178" s="226" t="s">
        <v>3741</v>
      </c>
      <c r="R178" s="227" t="s">
        <v>4095</v>
      </c>
      <c r="S178" s="227">
        <v>9.5</v>
      </c>
      <c r="T178" s="227">
        <v>166</v>
      </c>
      <c r="U178" s="227">
        <v>141.1</v>
      </c>
      <c r="V178" s="227">
        <v>8.1</v>
      </c>
    </row>
    <row r="179" spans="2:22" ht="42" customHeight="1" x14ac:dyDescent="0.25">
      <c r="B179" s="72" t="s">
        <v>4363</v>
      </c>
      <c r="C179" s="201" t="s">
        <v>4394</v>
      </c>
      <c r="D179" s="165" t="s">
        <v>4395</v>
      </c>
      <c r="E179" s="72">
        <v>0</v>
      </c>
      <c r="F179" s="72">
        <v>0</v>
      </c>
      <c r="G179" s="72" t="s">
        <v>3732</v>
      </c>
      <c r="H179" s="165" t="s">
        <v>3867</v>
      </c>
      <c r="I179" s="165" t="s">
        <v>4396</v>
      </c>
      <c r="J179" s="165" t="s">
        <v>4397</v>
      </c>
      <c r="K179" s="165" t="s">
        <v>3735</v>
      </c>
      <c r="L179" s="165" t="s">
        <v>3736</v>
      </c>
      <c r="M179" s="165" t="s">
        <v>3780</v>
      </c>
      <c r="N179" s="165" t="s">
        <v>3880</v>
      </c>
      <c r="O179" s="165" t="s">
        <v>3773</v>
      </c>
      <c r="P179" s="165" t="s">
        <v>3740</v>
      </c>
      <c r="Q179" s="226" t="s">
        <v>3781</v>
      </c>
      <c r="R179" s="227" t="s">
        <v>3742</v>
      </c>
      <c r="S179" s="227">
        <v>5.5</v>
      </c>
      <c r="T179" s="227">
        <v>180</v>
      </c>
      <c r="U179" s="227">
        <v>153</v>
      </c>
      <c r="V179" s="227">
        <v>4.7</v>
      </c>
    </row>
    <row r="180" spans="2:22" ht="42" customHeight="1" x14ac:dyDescent="0.25">
      <c r="B180" s="80" t="s">
        <v>4363</v>
      </c>
      <c r="C180" s="204" t="s">
        <v>4398</v>
      </c>
      <c r="D180" s="166" t="s">
        <v>4399</v>
      </c>
      <c r="E180" s="80">
        <v>0</v>
      </c>
      <c r="F180" s="80">
        <v>0</v>
      </c>
      <c r="G180" s="80" t="s">
        <v>3732</v>
      </c>
      <c r="H180" s="166" t="s">
        <v>3867</v>
      </c>
      <c r="I180" s="166" t="s">
        <v>4400</v>
      </c>
      <c r="J180" s="166" t="s">
        <v>4401</v>
      </c>
      <c r="K180" s="166" t="s">
        <v>3879</v>
      </c>
      <c r="L180" s="166" t="s">
        <v>3736</v>
      </c>
      <c r="M180" s="166" t="s">
        <v>3780</v>
      </c>
      <c r="N180" s="166" t="s">
        <v>3880</v>
      </c>
      <c r="O180" s="166" t="s">
        <v>3773</v>
      </c>
      <c r="P180" s="166" t="s">
        <v>3740</v>
      </c>
      <c r="Q180" s="166" t="s">
        <v>3755</v>
      </c>
      <c r="R180" s="227" t="s">
        <v>3742</v>
      </c>
      <c r="S180" s="227">
        <v>6</v>
      </c>
      <c r="T180" s="227">
        <v>183.5</v>
      </c>
      <c r="U180" s="227">
        <v>156</v>
      </c>
      <c r="V180" s="227">
        <v>5.0999999999999996</v>
      </c>
    </row>
    <row r="181" spans="2:22" ht="42" customHeight="1" x14ac:dyDescent="0.25">
      <c r="B181" s="72" t="s">
        <v>4363</v>
      </c>
      <c r="C181" s="201" t="s">
        <v>4402</v>
      </c>
      <c r="D181" s="165" t="s">
        <v>4403</v>
      </c>
      <c r="E181" s="72">
        <v>0</v>
      </c>
      <c r="F181" s="72">
        <v>0</v>
      </c>
      <c r="G181" s="72" t="s">
        <v>3732</v>
      </c>
      <c r="H181" s="165" t="s">
        <v>3867</v>
      </c>
      <c r="I181" s="165" t="s">
        <v>4404</v>
      </c>
      <c r="J181" s="165" t="s">
        <v>4405</v>
      </c>
      <c r="K181" s="165" t="s">
        <v>3879</v>
      </c>
      <c r="L181" s="165" t="s">
        <v>3736</v>
      </c>
      <c r="M181" s="165" t="s">
        <v>3772</v>
      </c>
      <c r="N181" s="165" t="s">
        <v>3880</v>
      </c>
      <c r="O181" s="165" t="s">
        <v>3773</v>
      </c>
      <c r="P181" s="165" t="s">
        <v>3740</v>
      </c>
      <c r="Q181" s="226" t="s">
        <v>3890</v>
      </c>
      <c r="R181" s="227" t="s">
        <v>3742</v>
      </c>
      <c r="S181" s="227">
        <v>5.5</v>
      </c>
      <c r="T181" s="227">
        <v>186</v>
      </c>
      <c r="U181" s="227">
        <v>158.1</v>
      </c>
      <c r="V181" s="227">
        <v>4.7</v>
      </c>
    </row>
    <row r="182" spans="2:22" ht="18" customHeight="1" x14ac:dyDescent="0.25">
      <c r="B182" s="374" t="s">
        <v>4406</v>
      </c>
      <c r="C182" s="374"/>
      <c r="D182" s="374"/>
      <c r="E182" s="374"/>
      <c r="F182" s="374"/>
      <c r="G182" s="374"/>
      <c r="H182" s="374"/>
      <c r="I182" s="374"/>
      <c r="J182" s="374"/>
      <c r="K182" s="374"/>
      <c r="L182" s="374"/>
      <c r="M182" s="374"/>
      <c r="N182" s="374"/>
      <c r="O182" s="374"/>
      <c r="P182" s="374"/>
      <c r="Q182" s="374"/>
    </row>
    <row r="183" spans="2:22" ht="42" customHeight="1" x14ac:dyDescent="0.25">
      <c r="B183" s="72" t="s">
        <v>4407</v>
      </c>
      <c r="C183" s="201" t="s">
        <v>4408</v>
      </c>
      <c r="D183" s="165" t="s">
        <v>4409</v>
      </c>
      <c r="E183" s="72">
        <v>0</v>
      </c>
      <c r="F183" s="72">
        <v>0</v>
      </c>
      <c r="G183" s="72" t="s">
        <v>3732</v>
      </c>
      <c r="H183" s="165" t="s">
        <v>3867</v>
      </c>
      <c r="I183" s="165" t="s">
        <v>4404</v>
      </c>
      <c r="J183" s="165" t="s">
        <v>4410</v>
      </c>
      <c r="K183" s="165" t="s">
        <v>3879</v>
      </c>
      <c r="L183" s="165" t="s">
        <v>3736</v>
      </c>
      <c r="M183" s="165" t="s">
        <v>3772</v>
      </c>
      <c r="N183" s="165" t="s">
        <v>3880</v>
      </c>
      <c r="O183" s="165" t="s">
        <v>3773</v>
      </c>
      <c r="P183" s="165" t="s">
        <v>3740</v>
      </c>
      <c r="Q183" s="226" t="s">
        <v>3890</v>
      </c>
      <c r="R183" s="227" t="s">
        <v>4411</v>
      </c>
      <c r="S183" s="227">
        <v>5</v>
      </c>
      <c r="T183" s="227">
        <v>186</v>
      </c>
      <c r="U183" s="227">
        <v>158.1</v>
      </c>
      <c r="V183" s="227">
        <v>4.2</v>
      </c>
    </row>
    <row r="184" spans="2:22" ht="42" customHeight="1" x14ac:dyDescent="0.25">
      <c r="B184" s="80" t="s">
        <v>4407</v>
      </c>
      <c r="C184" s="204" t="s">
        <v>2228</v>
      </c>
      <c r="D184" s="166" t="s">
        <v>4412</v>
      </c>
      <c r="E184" s="80">
        <v>0</v>
      </c>
      <c r="F184" s="80">
        <v>0</v>
      </c>
      <c r="G184" s="80" t="s">
        <v>3732</v>
      </c>
      <c r="H184" s="166" t="s">
        <v>3867</v>
      </c>
      <c r="I184" s="166" t="s">
        <v>3413</v>
      </c>
      <c r="J184" s="166" t="s">
        <v>4413</v>
      </c>
      <c r="K184" s="166" t="s">
        <v>3879</v>
      </c>
      <c r="L184" s="166" t="s">
        <v>3736</v>
      </c>
      <c r="M184" s="166" t="s">
        <v>3780</v>
      </c>
      <c r="N184" s="166" t="s">
        <v>3880</v>
      </c>
      <c r="O184" s="166" t="s">
        <v>3773</v>
      </c>
      <c r="P184" s="166" t="s">
        <v>3740</v>
      </c>
      <c r="Q184" s="166" t="s">
        <v>3755</v>
      </c>
      <c r="R184" s="227" t="s">
        <v>4411</v>
      </c>
      <c r="S184" s="227">
        <v>5.8</v>
      </c>
      <c r="T184" s="227">
        <v>183.5</v>
      </c>
      <c r="U184" s="227">
        <v>156</v>
      </c>
      <c r="V184" s="227">
        <v>4.9000000000000004</v>
      </c>
    </row>
    <row r="185" spans="2:22" ht="42" customHeight="1" x14ac:dyDescent="0.25">
      <c r="B185" s="72" t="s">
        <v>4407</v>
      </c>
      <c r="C185" s="201" t="s">
        <v>4414</v>
      </c>
      <c r="D185" s="165" t="s">
        <v>4415</v>
      </c>
      <c r="E185" s="72">
        <v>0</v>
      </c>
      <c r="F185" s="72">
        <v>0</v>
      </c>
      <c r="G185" s="72" t="s">
        <v>3732</v>
      </c>
      <c r="H185" s="165" t="s">
        <v>3867</v>
      </c>
      <c r="I185" s="165" t="s">
        <v>4416</v>
      </c>
      <c r="J185" s="165" t="s">
        <v>4417</v>
      </c>
      <c r="K185" s="165" t="s">
        <v>3735</v>
      </c>
      <c r="L185" s="165" t="s">
        <v>3747</v>
      </c>
      <c r="M185" s="165" t="s">
        <v>3772</v>
      </c>
      <c r="N185" s="165" t="s">
        <v>3880</v>
      </c>
      <c r="O185" s="165" t="s">
        <v>3764</v>
      </c>
      <c r="P185" s="165" t="s">
        <v>3740</v>
      </c>
      <c r="Q185" s="165" t="s">
        <v>3755</v>
      </c>
      <c r="R185" s="227" t="s">
        <v>4411</v>
      </c>
      <c r="S185" s="227">
        <v>6.5</v>
      </c>
      <c r="T185" s="227">
        <v>188</v>
      </c>
      <c r="U185" s="227">
        <v>159.80000000000001</v>
      </c>
      <c r="V185" s="227">
        <v>5.5</v>
      </c>
    </row>
    <row r="186" spans="2:22" ht="42" customHeight="1" x14ac:dyDescent="0.25">
      <c r="B186" s="80" t="s">
        <v>4407</v>
      </c>
      <c r="C186" s="204" t="s">
        <v>4418</v>
      </c>
      <c r="D186" s="166" t="s">
        <v>4419</v>
      </c>
      <c r="E186" s="80">
        <v>0</v>
      </c>
      <c r="F186" s="80">
        <v>0</v>
      </c>
      <c r="G186" s="80" t="s">
        <v>3732</v>
      </c>
      <c r="H186" s="166" t="s">
        <v>3867</v>
      </c>
      <c r="I186" s="166" t="s">
        <v>4420</v>
      </c>
      <c r="J186" s="166" t="s">
        <v>4421</v>
      </c>
      <c r="K186" s="166" t="s">
        <v>3735</v>
      </c>
      <c r="L186" s="166" t="s">
        <v>3747</v>
      </c>
      <c r="M186" s="166" t="s">
        <v>3780</v>
      </c>
      <c r="N186" s="166" t="s">
        <v>3754</v>
      </c>
      <c r="O186" s="166" t="s">
        <v>3764</v>
      </c>
      <c r="P186" s="166" t="s">
        <v>3740</v>
      </c>
      <c r="Q186" s="166" t="s">
        <v>3755</v>
      </c>
      <c r="R186" s="227" t="s">
        <v>4411</v>
      </c>
      <c r="S186" s="227">
        <v>5</v>
      </c>
      <c r="T186" s="227">
        <v>178</v>
      </c>
      <c r="U186" s="227">
        <v>151.30000000000001</v>
      </c>
      <c r="V186" s="227">
        <v>4.2</v>
      </c>
    </row>
    <row r="187" spans="2:22" ht="42" customHeight="1" x14ac:dyDescent="0.25">
      <c r="B187" s="72" t="s">
        <v>4407</v>
      </c>
      <c r="C187" s="201" t="s">
        <v>2616</v>
      </c>
      <c r="D187" s="165" t="s">
        <v>4422</v>
      </c>
      <c r="E187" s="72">
        <v>0</v>
      </c>
      <c r="F187" s="72">
        <v>0</v>
      </c>
      <c r="G187" s="72" t="s">
        <v>3732</v>
      </c>
      <c r="H187" s="165" t="s">
        <v>3867</v>
      </c>
      <c r="I187" s="165" t="s">
        <v>4423</v>
      </c>
      <c r="J187" s="165" t="s">
        <v>4424</v>
      </c>
      <c r="K187" s="165" t="s">
        <v>3879</v>
      </c>
      <c r="L187" s="165" t="s">
        <v>3736</v>
      </c>
      <c r="M187" s="165" t="s">
        <v>3772</v>
      </c>
      <c r="N187" s="165" t="s">
        <v>3880</v>
      </c>
      <c r="O187" s="165" t="s">
        <v>3773</v>
      </c>
      <c r="P187" s="165" t="s">
        <v>3740</v>
      </c>
      <c r="Q187" s="165" t="s">
        <v>3755</v>
      </c>
      <c r="R187" s="227" t="s">
        <v>3742</v>
      </c>
      <c r="S187" s="227">
        <v>3.2</v>
      </c>
      <c r="T187" s="227">
        <v>188.5</v>
      </c>
      <c r="U187" s="227">
        <v>160.19999999999999</v>
      </c>
      <c r="V187" s="227">
        <v>2.7</v>
      </c>
    </row>
    <row r="188" spans="2:22" ht="42" customHeight="1" x14ac:dyDescent="0.25">
      <c r="B188" s="80" t="s">
        <v>4407</v>
      </c>
      <c r="C188" s="204" t="s">
        <v>1646</v>
      </c>
      <c r="D188" s="166" t="s">
        <v>4425</v>
      </c>
      <c r="E188" s="80">
        <v>0</v>
      </c>
      <c r="F188" s="80">
        <v>0</v>
      </c>
      <c r="G188" s="80" t="s">
        <v>3732</v>
      </c>
      <c r="H188" s="166" t="s">
        <v>3800</v>
      </c>
      <c r="I188" s="166" t="s">
        <v>4426</v>
      </c>
      <c r="J188" s="166" t="s">
        <v>4427</v>
      </c>
      <c r="K188" s="166" t="s">
        <v>3752</v>
      </c>
      <c r="L188" s="166" t="s">
        <v>3747</v>
      </c>
      <c r="M188" s="166" t="s">
        <v>4428</v>
      </c>
      <c r="N188" s="166" t="s">
        <v>3754</v>
      </c>
      <c r="O188" s="166" t="s">
        <v>3764</v>
      </c>
      <c r="P188" s="166" t="s">
        <v>3740</v>
      </c>
      <c r="Q188" s="226" t="s">
        <v>3781</v>
      </c>
      <c r="R188" s="227" t="s">
        <v>4411</v>
      </c>
      <c r="S188" s="227">
        <v>4</v>
      </c>
      <c r="T188" s="227">
        <v>176</v>
      </c>
      <c r="U188" s="227">
        <v>149.6</v>
      </c>
      <c r="V188" s="227">
        <v>3.4</v>
      </c>
    </row>
    <row r="189" spans="2:22" ht="42" customHeight="1" x14ac:dyDescent="0.25">
      <c r="B189" s="72" t="s">
        <v>4407</v>
      </c>
      <c r="C189" s="201" t="s">
        <v>1647</v>
      </c>
      <c r="D189" s="165" t="s">
        <v>4429</v>
      </c>
      <c r="E189" s="72">
        <v>0</v>
      </c>
      <c r="F189" s="72">
        <v>0</v>
      </c>
      <c r="G189" s="72" t="s">
        <v>3732</v>
      </c>
      <c r="H189" s="165" t="s">
        <v>3855</v>
      </c>
      <c r="I189" s="165" t="s">
        <v>4430</v>
      </c>
      <c r="J189" s="165" t="s">
        <v>4431</v>
      </c>
      <c r="K189" s="165" t="s">
        <v>3752</v>
      </c>
      <c r="L189" s="165" t="s">
        <v>3747</v>
      </c>
      <c r="M189" s="165" t="s">
        <v>3737</v>
      </c>
      <c r="N189" s="165" t="s">
        <v>3754</v>
      </c>
      <c r="O189" s="165" t="s">
        <v>3764</v>
      </c>
      <c r="P189" s="165" t="s">
        <v>3740</v>
      </c>
      <c r="Q189" s="226" t="s">
        <v>3814</v>
      </c>
      <c r="R189" s="227" t="s">
        <v>4411</v>
      </c>
      <c r="S189" s="227">
        <v>7.5</v>
      </c>
      <c r="T189" s="227">
        <v>167</v>
      </c>
      <c r="U189" s="227">
        <v>141.9</v>
      </c>
      <c r="V189" s="227">
        <v>6.4</v>
      </c>
    </row>
    <row r="190" spans="2:22" ht="42" customHeight="1" x14ac:dyDescent="0.25">
      <c r="B190" s="80" t="s">
        <v>4407</v>
      </c>
      <c r="C190" s="204" t="s">
        <v>4432</v>
      </c>
      <c r="D190" s="166" t="s">
        <v>4433</v>
      </c>
      <c r="E190" s="80">
        <v>0</v>
      </c>
      <c r="F190" s="80">
        <v>0</v>
      </c>
      <c r="G190" s="80" t="s">
        <v>3732</v>
      </c>
      <c r="H190" s="166" t="s">
        <v>3983</v>
      </c>
      <c r="I190" s="166" t="s">
        <v>4434</v>
      </c>
      <c r="J190" s="166" t="s">
        <v>4435</v>
      </c>
      <c r="K190" s="166" t="s">
        <v>3735</v>
      </c>
      <c r="L190" s="166" t="s">
        <v>3747</v>
      </c>
      <c r="M190" s="166" t="s">
        <v>3737</v>
      </c>
      <c r="N190" s="166" t="s">
        <v>3754</v>
      </c>
      <c r="O190" s="166" t="s">
        <v>3739</v>
      </c>
      <c r="P190" s="166" t="s">
        <v>3740</v>
      </c>
      <c r="Q190" s="226" t="s">
        <v>3741</v>
      </c>
      <c r="R190" s="227" t="s">
        <v>3742</v>
      </c>
      <c r="S190" s="227">
        <v>7</v>
      </c>
      <c r="T190" s="227">
        <v>140</v>
      </c>
      <c r="U190" s="227">
        <v>119</v>
      </c>
      <c r="V190" s="227">
        <v>6</v>
      </c>
    </row>
    <row r="191" spans="2:22" ht="42" customHeight="1" x14ac:dyDescent="0.25">
      <c r="B191" s="72" t="s">
        <v>4407</v>
      </c>
      <c r="C191" s="201" t="s">
        <v>4436</v>
      </c>
      <c r="D191" s="165" t="s">
        <v>4437</v>
      </c>
      <c r="E191" s="72">
        <v>0</v>
      </c>
      <c r="F191" s="72">
        <v>0</v>
      </c>
      <c r="G191" s="72" t="s">
        <v>3732</v>
      </c>
      <c r="H191" s="165" t="s">
        <v>3949</v>
      </c>
      <c r="I191" s="165" t="s">
        <v>4438</v>
      </c>
      <c r="J191" s="165" t="s">
        <v>4439</v>
      </c>
      <c r="K191" s="165" t="s">
        <v>3735</v>
      </c>
      <c r="L191" s="165" t="s">
        <v>3747</v>
      </c>
      <c r="M191" s="165" t="s">
        <v>3737</v>
      </c>
      <c r="N191" s="165" t="s">
        <v>3754</v>
      </c>
      <c r="O191" s="165" t="s">
        <v>3739</v>
      </c>
      <c r="P191" s="165" t="s">
        <v>3740</v>
      </c>
      <c r="Q191" s="226" t="s">
        <v>3741</v>
      </c>
      <c r="R191" s="227" t="s">
        <v>3742</v>
      </c>
      <c r="S191" s="227">
        <v>8.5</v>
      </c>
      <c r="T191" s="227">
        <v>132</v>
      </c>
      <c r="U191" s="227">
        <v>112.2</v>
      </c>
      <c r="V191" s="227">
        <v>7.2</v>
      </c>
    </row>
    <row r="192" spans="2:22" ht="42" customHeight="1" x14ac:dyDescent="0.25">
      <c r="B192" s="80" t="s">
        <v>4407</v>
      </c>
      <c r="C192" s="204" t="s">
        <v>4440</v>
      </c>
      <c r="D192" s="166" t="s">
        <v>4441</v>
      </c>
      <c r="E192" s="80">
        <v>0</v>
      </c>
      <c r="F192" s="80">
        <v>0</v>
      </c>
      <c r="G192" s="80" t="s">
        <v>3732</v>
      </c>
      <c r="H192" s="166" t="s">
        <v>3936</v>
      </c>
      <c r="I192" s="166" t="s">
        <v>4442</v>
      </c>
      <c r="J192" s="166" t="s">
        <v>4443</v>
      </c>
      <c r="K192" s="166" t="s">
        <v>3735</v>
      </c>
      <c r="L192" s="166" t="s">
        <v>3747</v>
      </c>
      <c r="M192" s="166" t="s">
        <v>3753</v>
      </c>
      <c r="N192" s="166" t="s">
        <v>3754</v>
      </c>
      <c r="O192" s="166" t="s">
        <v>3739</v>
      </c>
      <c r="P192" s="166" t="s">
        <v>3740</v>
      </c>
      <c r="Q192" s="226" t="s">
        <v>3814</v>
      </c>
      <c r="R192" s="227" t="s">
        <v>3742</v>
      </c>
      <c r="S192" s="227">
        <v>9</v>
      </c>
      <c r="T192" s="227">
        <v>122</v>
      </c>
      <c r="U192" s="227">
        <v>103.7</v>
      </c>
      <c r="V192" s="227">
        <v>7.6</v>
      </c>
    </row>
    <row r="193" spans="2:22" ht="42" customHeight="1" x14ac:dyDescent="0.25">
      <c r="B193" s="72" t="s">
        <v>4407</v>
      </c>
      <c r="C193" s="201" t="s">
        <v>4444</v>
      </c>
      <c r="D193" s="165" t="s">
        <v>4445</v>
      </c>
      <c r="E193" s="72">
        <v>0</v>
      </c>
      <c r="F193" s="72">
        <v>0</v>
      </c>
      <c r="G193" s="72" t="s">
        <v>3732</v>
      </c>
      <c r="H193" s="165" t="s">
        <v>3949</v>
      </c>
      <c r="I193" s="165" t="s">
        <v>4446</v>
      </c>
      <c r="J193" s="165" t="s">
        <v>4447</v>
      </c>
      <c r="K193" s="165" t="s">
        <v>3752</v>
      </c>
      <c r="L193" s="165" t="s">
        <v>3747</v>
      </c>
      <c r="M193" s="165" t="s">
        <v>3831</v>
      </c>
      <c r="N193" s="165" t="s">
        <v>3754</v>
      </c>
      <c r="O193" s="165" t="s">
        <v>3764</v>
      </c>
      <c r="P193" s="165" t="s">
        <v>3952</v>
      </c>
      <c r="Q193" s="165" t="s">
        <v>3755</v>
      </c>
      <c r="R193" s="227" t="s">
        <v>4411</v>
      </c>
      <c r="S193" s="227">
        <v>9.5</v>
      </c>
      <c r="T193" s="227">
        <v>100</v>
      </c>
      <c r="U193" s="227">
        <v>85</v>
      </c>
      <c r="V193" s="227">
        <v>8.1</v>
      </c>
    </row>
    <row r="194" spans="2:22" ht="42" customHeight="1" x14ac:dyDescent="0.25">
      <c r="B194" s="80" t="s">
        <v>4407</v>
      </c>
      <c r="C194" s="204" t="s">
        <v>1643</v>
      </c>
      <c r="D194" s="166" t="s">
        <v>4448</v>
      </c>
      <c r="E194" s="80">
        <v>0</v>
      </c>
      <c r="F194" s="80">
        <v>0</v>
      </c>
      <c r="G194" s="80" t="s">
        <v>3732</v>
      </c>
      <c r="H194" s="166" t="s">
        <v>3800</v>
      </c>
      <c r="I194" s="166" t="s">
        <v>4449</v>
      </c>
      <c r="J194" s="166" t="s">
        <v>4450</v>
      </c>
      <c r="K194" s="166" t="s">
        <v>3752</v>
      </c>
      <c r="L194" s="166" t="s">
        <v>3747</v>
      </c>
      <c r="M194" s="166" t="s">
        <v>4451</v>
      </c>
      <c r="N194" s="166" t="s">
        <v>3754</v>
      </c>
      <c r="O194" s="166" t="s">
        <v>3764</v>
      </c>
      <c r="P194" s="166" t="s">
        <v>3952</v>
      </c>
      <c r="Q194" s="166" t="s">
        <v>3755</v>
      </c>
      <c r="R194" s="227" t="s">
        <v>4411</v>
      </c>
      <c r="S194" s="227">
        <v>9.5</v>
      </c>
      <c r="T194" s="227">
        <v>97</v>
      </c>
      <c r="U194" s="227">
        <v>82.5</v>
      </c>
      <c r="V194" s="227">
        <v>8.1</v>
      </c>
    </row>
    <row r="195" spans="2:22" ht="42" customHeight="1" x14ac:dyDescent="0.25">
      <c r="B195" s="72" t="s">
        <v>4407</v>
      </c>
      <c r="C195" s="201" t="s">
        <v>4452</v>
      </c>
      <c r="D195" s="165" t="s">
        <v>4453</v>
      </c>
      <c r="E195" s="72">
        <v>0</v>
      </c>
      <c r="F195" s="72">
        <v>0</v>
      </c>
      <c r="G195" s="72" t="s">
        <v>3732</v>
      </c>
      <c r="H195" s="165" t="s">
        <v>4165</v>
      </c>
      <c r="I195" s="165" t="s">
        <v>4454</v>
      </c>
      <c r="J195" s="165" t="s">
        <v>4455</v>
      </c>
      <c r="K195" s="165" t="s">
        <v>3752</v>
      </c>
      <c r="L195" s="165" t="s">
        <v>3747</v>
      </c>
      <c r="M195" s="165" t="s">
        <v>3831</v>
      </c>
      <c r="N195" s="165" t="s">
        <v>3754</v>
      </c>
      <c r="O195" s="165" t="s">
        <v>3764</v>
      </c>
      <c r="P195" s="165" t="s">
        <v>3952</v>
      </c>
      <c r="Q195" s="165" t="s">
        <v>3755</v>
      </c>
      <c r="R195" s="227" t="s">
        <v>4411</v>
      </c>
      <c r="S195" s="227">
        <v>10</v>
      </c>
      <c r="T195" s="227">
        <v>80</v>
      </c>
      <c r="U195" s="227">
        <v>68</v>
      </c>
      <c r="V195" s="227">
        <v>8.5</v>
      </c>
    </row>
    <row r="196" spans="2:22" ht="42" customHeight="1" x14ac:dyDescent="0.25">
      <c r="B196" s="80" t="s">
        <v>4407</v>
      </c>
      <c r="C196" s="204" t="s">
        <v>4456</v>
      </c>
      <c r="D196" s="166" t="s">
        <v>4457</v>
      </c>
      <c r="E196" s="80">
        <v>0</v>
      </c>
      <c r="F196" s="80">
        <v>0</v>
      </c>
      <c r="G196" s="80" t="s">
        <v>3732</v>
      </c>
      <c r="H196" s="166" t="s">
        <v>3842</v>
      </c>
      <c r="I196" s="166" t="s">
        <v>4458</v>
      </c>
      <c r="J196" s="166" t="s">
        <v>4459</v>
      </c>
      <c r="K196" s="166" t="s">
        <v>3752</v>
      </c>
      <c r="L196" s="166" t="s">
        <v>3747</v>
      </c>
      <c r="M196" s="166" t="s">
        <v>3753</v>
      </c>
      <c r="N196" s="166" t="s">
        <v>3754</v>
      </c>
      <c r="O196" s="166" t="s">
        <v>3764</v>
      </c>
      <c r="P196" s="166" t="s">
        <v>3952</v>
      </c>
      <c r="Q196" s="166" t="s">
        <v>3755</v>
      </c>
      <c r="R196" s="227" t="s">
        <v>4411</v>
      </c>
      <c r="S196" s="227">
        <v>9</v>
      </c>
      <c r="T196" s="227">
        <v>55</v>
      </c>
      <c r="U196" s="227">
        <v>46.8</v>
      </c>
      <c r="V196" s="227">
        <v>7.6</v>
      </c>
    </row>
    <row r="197" spans="2:22" ht="42" customHeight="1" x14ac:dyDescent="0.25">
      <c r="B197" s="72" t="s">
        <v>4407</v>
      </c>
      <c r="C197" s="201" t="s">
        <v>1645</v>
      </c>
      <c r="D197" s="165" t="s">
        <v>4460</v>
      </c>
      <c r="E197" s="72">
        <v>0</v>
      </c>
      <c r="F197" s="72">
        <v>0</v>
      </c>
      <c r="G197" s="72" t="s">
        <v>3732</v>
      </c>
      <c r="H197" s="165" t="s">
        <v>3842</v>
      </c>
      <c r="I197" s="165" t="s">
        <v>4461</v>
      </c>
      <c r="J197" s="165" t="s">
        <v>4462</v>
      </c>
      <c r="K197" s="165" t="s">
        <v>3752</v>
      </c>
      <c r="L197" s="165" t="s">
        <v>3747</v>
      </c>
      <c r="M197" s="165" t="s">
        <v>3831</v>
      </c>
      <c r="N197" s="165" t="s">
        <v>3754</v>
      </c>
      <c r="O197" s="165" t="s">
        <v>3764</v>
      </c>
      <c r="P197" s="165" t="s">
        <v>3952</v>
      </c>
      <c r="Q197" s="226" t="s">
        <v>3781</v>
      </c>
      <c r="R197" s="227" t="s">
        <v>4411</v>
      </c>
      <c r="S197" s="227">
        <v>8</v>
      </c>
      <c r="T197" s="227">
        <v>52</v>
      </c>
      <c r="U197" s="227">
        <v>44.2</v>
      </c>
      <c r="V197" s="227">
        <v>6.8</v>
      </c>
    </row>
    <row r="198" spans="2:22" ht="42" customHeight="1" x14ac:dyDescent="0.25">
      <c r="B198" s="80" t="s">
        <v>4407</v>
      </c>
      <c r="C198" s="204" t="s">
        <v>4463</v>
      </c>
      <c r="D198" s="166" t="s">
        <v>4464</v>
      </c>
      <c r="E198" s="80">
        <v>0</v>
      </c>
      <c r="F198" s="80">
        <v>0</v>
      </c>
      <c r="G198" s="80" t="s">
        <v>3732</v>
      </c>
      <c r="H198" s="166" t="s">
        <v>4165</v>
      </c>
      <c r="I198" s="166" t="s">
        <v>4465</v>
      </c>
      <c r="J198" s="166" t="s">
        <v>4466</v>
      </c>
      <c r="K198" s="166" t="s">
        <v>3752</v>
      </c>
      <c r="L198" s="166" t="s">
        <v>3747</v>
      </c>
      <c r="M198" s="166" t="s">
        <v>3753</v>
      </c>
      <c r="N198" s="166" t="s">
        <v>3754</v>
      </c>
      <c r="O198" s="166" t="s">
        <v>3739</v>
      </c>
      <c r="P198" s="166" t="s">
        <v>3952</v>
      </c>
      <c r="Q198" s="166" t="s">
        <v>3755</v>
      </c>
      <c r="R198" s="227" t="s">
        <v>4411</v>
      </c>
      <c r="S198" s="227">
        <v>7.5</v>
      </c>
      <c r="T198" s="227">
        <v>40</v>
      </c>
      <c r="U198" s="227">
        <v>34</v>
      </c>
      <c r="V198" s="227">
        <v>6.4</v>
      </c>
    </row>
    <row r="199" spans="2:22" ht="42" customHeight="1" x14ac:dyDescent="0.25">
      <c r="B199" s="72" t="s">
        <v>4407</v>
      </c>
      <c r="C199" s="201" t="s">
        <v>4467</v>
      </c>
      <c r="D199" s="165" t="s">
        <v>4468</v>
      </c>
      <c r="E199" s="72">
        <v>0</v>
      </c>
      <c r="F199" s="72">
        <v>0</v>
      </c>
      <c r="G199" s="72" t="s">
        <v>3732</v>
      </c>
      <c r="H199" s="165" t="s">
        <v>4165</v>
      </c>
      <c r="I199" s="165" t="s">
        <v>4469</v>
      </c>
      <c r="J199" s="165" t="s">
        <v>4470</v>
      </c>
      <c r="K199" s="165" t="s">
        <v>3752</v>
      </c>
      <c r="L199" s="165" t="s">
        <v>3747</v>
      </c>
      <c r="M199" s="165" t="s">
        <v>3753</v>
      </c>
      <c r="N199" s="165" t="s">
        <v>3754</v>
      </c>
      <c r="O199" s="165" t="s">
        <v>3739</v>
      </c>
      <c r="P199" s="165" t="s">
        <v>3952</v>
      </c>
      <c r="Q199" s="165" t="s">
        <v>3755</v>
      </c>
      <c r="R199" s="227" t="s">
        <v>4411</v>
      </c>
      <c r="S199" s="227">
        <v>7</v>
      </c>
      <c r="T199" s="227">
        <v>22</v>
      </c>
      <c r="U199" s="227">
        <v>18.7</v>
      </c>
      <c r="V199" s="227">
        <v>6</v>
      </c>
    </row>
    <row r="200" spans="2:22" ht="42" customHeight="1" x14ac:dyDescent="0.25">
      <c r="B200" s="80" t="s">
        <v>4407</v>
      </c>
      <c r="C200" s="204" t="s">
        <v>4471</v>
      </c>
      <c r="D200" s="166" t="s">
        <v>4472</v>
      </c>
      <c r="E200" s="80">
        <v>0</v>
      </c>
      <c r="F200" s="80">
        <v>0</v>
      </c>
      <c r="G200" s="80" t="s">
        <v>3732</v>
      </c>
      <c r="H200" s="166" t="s">
        <v>4165</v>
      </c>
      <c r="I200" s="166" t="s">
        <v>4370</v>
      </c>
      <c r="J200" s="166" t="s">
        <v>4022</v>
      </c>
      <c r="K200" s="166" t="s">
        <v>3735</v>
      </c>
      <c r="L200" s="166" t="s">
        <v>3763</v>
      </c>
      <c r="M200" s="166" t="s">
        <v>3780</v>
      </c>
      <c r="N200" s="166" t="s">
        <v>3754</v>
      </c>
      <c r="O200" s="166" t="s">
        <v>3739</v>
      </c>
      <c r="P200" s="166" t="s">
        <v>3952</v>
      </c>
      <c r="Q200" s="166" t="s">
        <v>3755</v>
      </c>
      <c r="R200" s="227" t="s">
        <v>4411</v>
      </c>
      <c r="S200" s="227">
        <v>7</v>
      </c>
      <c r="T200" s="227">
        <v>10</v>
      </c>
      <c r="U200" s="227">
        <v>8.5</v>
      </c>
      <c r="V200" s="227">
        <v>6</v>
      </c>
    </row>
    <row r="201" spans="2:22" ht="42" customHeight="1" x14ac:dyDescent="0.25">
      <c r="B201" s="72" t="s">
        <v>4407</v>
      </c>
      <c r="C201" s="201" t="s">
        <v>4473</v>
      </c>
      <c r="D201" s="165" t="s">
        <v>4474</v>
      </c>
      <c r="E201" s="72">
        <v>0</v>
      </c>
      <c r="F201" s="72">
        <v>0</v>
      </c>
      <c r="G201" s="72" t="s">
        <v>3732</v>
      </c>
      <c r="H201" s="165" t="s">
        <v>3867</v>
      </c>
      <c r="I201" s="165" t="s">
        <v>4475</v>
      </c>
      <c r="J201" s="165" t="s">
        <v>4476</v>
      </c>
      <c r="K201" s="165" t="s">
        <v>3735</v>
      </c>
      <c r="L201" s="165" t="s">
        <v>3747</v>
      </c>
      <c r="M201" s="165" t="s">
        <v>3780</v>
      </c>
      <c r="N201" s="165" t="s">
        <v>3754</v>
      </c>
      <c r="O201" s="165" t="s">
        <v>3773</v>
      </c>
      <c r="P201" s="165" t="s">
        <v>3952</v>
      </c>
      <c r="Q201" s="165" t="s">
        <v>3755</v>
      </c>
      <c r="R201" s="227" t="s">
        <v>4411</v>
      </c>
      <c r="S201" s="227">
        <v>6.4</v>
      </c>
      <c r="T201" s="227">
        <v>6</v>
      </c>
      <c r="U201" s="227">
        <v>5.0999999999999996</v>
      </c>
      <c r="V201" s="227">
        <v>5.4</v>
      </c>
    </row>
    <row r="202" spans="2:22" ht="42" customHeight="1" x14ac:dyDescent="0.25">
      <c r="B202" s="80" t="s">
        <v>4407</v>
      </c>
      <c r="C202" s="204" t="s">
        <v>4477</v>
      </c>
      <c r="D202" s="166" t="s">
        <v>4478</v>
      </c>
      <c r="E202" s="80">
        <v>0</v>
      </c>
      <c r="F202" s="80">
        <v>0</v>
      </c>
      <c r="G202" s="80" t="s">
        <v>3732</v>
      </c>
      <c r="H202" s="166" t="s">
        <v>3867</v>
      </c>
      <c r="I202" s="166" t="s">
        <v>4093</v>
      </c>
      <c r="J202" s="166" t="s">
        <v>4479</v>
      </c>
      <c r="K202" s="166" t="s">
        <v>3778</v>
      </c>
      <c r="L202" s="166" t="s">
        <v>3779</v>
      </c>
      <c r="M202" s="166" t="s">
        <v>3795</v>
      </c>
      <c r="N202" s="166" t="s">
        <v>3790</v>
      </c>
      <c r="O202" s="166" t="s">
        <v>3773</v>
      </c>
      <c r="P202" s="166" t="s">
        <v>3952</v>
      </c>
      <c r="Q202" s="166" t="s">
        <v>3755</v>
      </c>
      <c r="R202" s="227" t="s">
        <v>4411</v>
      </c>
      <c r="S202" s="227">
        <v>6.6</v>
      </c>
      <c r="T202" s="227">
        <v>1.5</v>
      </c>
      <c r="U202" s="227">
        <v>1.3</v>
      </c>
      <c r="V202" s="227">
        <v>5.6</v>
      </c>
    </row>
    <row r="203" spans="2:22" ht="18" customHeight="1" x14ac:dyDescent="0.25">
      <c r="B203" s="374" t="s">
        <v>4480</v>
      </c>
      <c r="C203" s="374"/>
      <c r="D203" s="374"/>
      <c r="E203" s="374"/>
      <c r="F203" s="374"/>
      <c r="G203" s="374"/>
      <c r="H203" s="374"/>
      <c r="I203" s="374"/>
      <c r="J203" s="374"/>
      <c r="K203" s="374"/>
      <c r="L203" s="374"/>
      <c r="M203" s="374"/>
      <c r="N203" s="374"/>
      <c r="O203" s="374"/>
      <c r="P203" s="374"/>
      <c r="Q203" s="374"/>
    </row>
    <row r="204" spans="2:22" ht="42" customHeight="1" x14ac:dyDescent="0.25">
      <c r="B204" s="80" t="s">
        <v>4481</v>
      </c>
      <c r="C204" s="204" t="s">
        <v>4482</v>
      </c>
      <c r="D204" s="166" t="s">
        <v>4483</v>
      </c>
      <c r="E204" s="80">
        <v>0</v>
      </c>
      <c r="F204" s="80">
        <v>0</v>
      </c>
      <c r="G204" s="80" t="s">
        <v>3732</v>
      </c>
      <c r="H204" s="166" t="s">
        <v>3936</v>
      </c>
      <c r="I204" s="166" t="s">
        <v>4484</v>
      </c>
      <c r="J204" s="166" t="s">
        <v>4485</v>
      </c>
      <c r="K204" s="166" t="s">
        <v>3778</v>
      </c>
      <c r="L204" s="166" t="s">
        <v>3779</v>
      </c>
      <c r="M204" s="166" t="s">
        <v>3795</v>
      </c>
      <c r="N204" s="166" t="s">
        <v>3840</v>
      </c>
      <c r="O204" s="166" t="s">
        <v>3773</v>
      </c>
      <c r="P204" s="166" t="s">
        <v>3952</v>
      </c>
      <c r="Q204" s="166" t="s">
        <v>3755</v>
      </c>
      <c r="R204" s="227" t="s">
        <v>3742</v>
      </c>
      <c r="S204" s="227">
        <v>2.4</v>
      </c>
      <c r="T204" s="227">
        <v>1.5</v>
      </c>
      <c r="U204" s="227">
        <v>1.3</v>
      </c>
      <c r="V204" s="227">
        <v>2</v>
      </c>
    </row>
    <row r="205" spans="2:22" ht="42" customHeight="1" x14ac:dyDescent="0.25">
      <c r="B205" s="72" t="s">
        <v>4481</v>
      </c>
      <c r="C205" s="201" t="s">
        <v>4486</v>
      </c>
      <c r="D205" s="165" t="s">
        <v>4487</v>
      </c>
      <c r="E205" s="72">
        <v>0</v>
      </c>
      <c r="F205" s="72">
        <v>0</v>
      </c>
      <c r="G205" s="72" t="s">
        <v>3732</v>
      </c>
      <c r="H205" s="165" t="s">
        <v>4024</v>
      </c>
      <c r="I205" s="165" t="s">
        <v>4488</v>
      </c>
      <c r="J205" s="165" t="s">
        <v>4489</v>
      </c>
      <c r="K205" s="165" t="s">
        <v>3735</v>
      </c>
      <c r="L205" s="165" t="s">
        <v>3747</v>
      </c>
      <c r="M205" s="165" t="s">
        <v>3780</v>
      </c>
      <c r="N205" s="165" t="s">
        <v>3790</v>
      </c>
      <c r="O205" s="165" t="s">
        <v>3773</v>
      </c>
      <c r="P205" s="165" t="s">
        <v>3952</v>
      </c>
      <c r="Q205" s="165" t="s">
        <v>3755</v>
      </c>
      <c r="R205" s="227" t="s">
        <v>3742</v>
      </c>
      <c r="S205" s="227">
        <v>2.8</v>
      </c>
      <c r="T205" s="227">
        <v>4.5</v>
      </c>
      <c r="U205" s="227">
        <v>3.8</v>
      </c>
      <c r="V205" s="227">
        <v>2.4</v>
      </c>
    </row>
    <row r="206" spans="2:22" ht="42" customHeight="1" x14ac:dyDescent="0.25">
      <c r="B206" s="80" t="s">
        <v>4481</v>
      </c>
      <c r="C206" s="204" t="s">
        <v>2141</v>
      </c>
      <c r="D206" s="166" t="s">
        <v>4490</v>
      </c>
      <c r="E206" s="80">
        <v>0</v>
      </c>
      <c r="F206" s="80">
        <v>0</v>
      </c>
      <c r="G206" s="80" t="s">
        <v>3732</v>
      </c>
      <c r="H206" s="166" t="s">
        <v>4024</v>
      </c>
      <c r="I206" s="166" t="s">
        <v>4491</v>
      </c>
      <c r="J206" s="166" t="s">
        <v>4492</v>
      </c>
      <c r="K206" s="166" t="s">
        <v>3752</v>
      </c>
      <c r="L206" s="166" t="s">
        <v>3747</v>
      </c>
      <c r="M206" s="166" t="s">
        <v>3753</v>
      </c>
      <c r="N206" s="166" t="s">
        <v>3754</v>
      </c>
      <c r="O206" s="166" t="s">
        <v>3739</v>
      </c>
      <c r="P206" s="166" t="s">
        <v>3952</v>
      </c>
      <c r="Q206" s="166" t="s">
        <v>3755</v>
      </c>
      <c r="R206" s="227" t="s">
        <v>3742</v>
      </c>
      <c r="S206" s="227">
        <v>3</v>
      </c>
      <c r="T206" s="227">
        <v>7</v>
      </c>
      <c r="U206" s="227">
        <v>6</v>
      </c>
      <c r="V206" s="227">
        <v>2.5</v>
      </c>
    </row>
    <row r="207" spans="2:22" ht="42" customHeight="1" x14ac:dyDescent="0.25">
      <c r="B207" s="72" t="s">
        <v>4481</v>
      </c>
      <c r="C207" s="201" t="s">
        <v>4493</v>
      </c>
      <c r="D207" s="165" t="s">
        <v>4494</v>
      </c>
      <c r="E207" s="72">
        <v>0</v>
      </c>
      <c r="F207" s="72">
        <v>0</v>
      </c>
      <c r="G207" s="72" t="s">
        <v>3732</v>
      </c>
      <c r="H207" s="165" t="s">
        <v>3936</v>
      </c>
      <c r="I207" s="165" t="s">
        <v>4495</v>
      </c>
      <c r="J207" s="165" t="s">
        <v>4496</v>
      </c>
      <c r="K207" s="165" t="s">
        <v>3735</v>
      </c>
      <c r="L207" s="165" t="s">
        <v>3747</v>
      </c>
      <c r="M207" s="165" t="s">
        <v>3772</v>
      </c>
      <c r="N207" s="165" t="s">
        <v>3754</v>
      </c>
      <c r="O207" s="165" t="s">
        <v>3773</v>
      </c>
      <c r="P207" s="165" t="s">
        <v>3952</v>
      </c>
      <c r="Q207" s="165" t="s">
        <v>3755</v>
      </c>
      <c r="R207" s="227" t="s">
        <v>3742</v>
      </c>
      <c r="S207" s="227">
        <v>2.8</v>
      </c>
      <c r="T207" s="227">
        <v>20</v>
      </c>
      <c r="U207" s="227">
        <v>17</v>
      </c>
      <c r="V207" s="227">
        <v>2.4</v>
      </c>
    </row>
    <row r="208" spans="2:22" ht="42" customHeight="1" x14ac:dyDescent="0.25">
      <c r="B208" s="80" t="s">
        <v>4481</v>
      </c>
      <c r="C208" s="204" t="s">
        <v>4497</v>
      </c>
      <c r="D208" s="166" t="s">
        <v>4498</v>
      </c>
      <c r="E208" s="80">
        <v>0</v>
      </c>
      <c r="F208" s="80">
        <v>0</v>
      </c>
      <c r="G208" s="80" t="s">
        <v>3732</v>
      </c>
      <c r="H208" s="166" t="s">
        <v>3936</v>
      </c>
      <c r="I208" s="166" t="s">
        <v>4291</v>
      </c>
      <c r="J208" s="166" t="s">
        <v>4499</v>
      </c>
      <c r="K208" s="166" t="s">
        <v>3735</v>
      </c>
      <c r="L208" s="166" t="s">
        <v>3747</v>
      </c>
      <c r="M208" s="166" t="s">
        <v>3772</v>
      </c>
      <c r="N208" s="166" t="s">
        <v>3754</v>
      </c>
      <c r="O208" s="166" t="s">
        <v>3773</v>
      </c>
      <c r="P208" s="166" t="s">
        <v>3952</v>
      </c>
      <c r="Q208" s="166" t="s">
        <v>3755</v>
      </c>
      <c r="R208" s="227" t="s">
        <v>3742</v>
      </c>
      <c r="S208" s="227">
        <v>2.8</v>
      </c>
      <c r="T208" s="227">
        <v>23</v>
      </c>
      <c r="U208" s="227">
        <v>19.600000000000001</v>
      </c>
      <c r="V208" s="227">
        <v>2.4</v>
      </c>
    </row>
    <row r="209" spans="2:22" ht="42" customHeight="1" x14ac:dyDescent="0.25">
      <c r="B209" s="72" t="s">
        <v>4481</v>
      </c>
      <c r="C209" s="201" t="s">
        <v>4500</v>
      </c>
      <c r="D209" s="165" t="s">
        <v>4501</v>
      </c>
      <c r="E209" s="72">
        <v>0</v>
      </c>
      <c r="F209" s="72">
        <v>0</v>
      </c>
      <c r="G209" s="72" t="s">
        <v>3732</v>
      </c>
      <c r="H209" s="165" t="s">
        <v>3936</v>
      </c>
      <c r="I209" s="165" t="s">
        <v>4502</v>
      </c>
      <c r="J209" s="165" t="s">
        <v>4503</v>
      </c>
      <c r="K209" s="165" t="s">
        <v>3735</v>
      </c>
      <c r="L209" s="165" t="s">
        <v>3763</v>
      </c>
      <c r="M209" s="165" t="s">
        <v>3753</v>
      </c>
      <c r="N209" s="165" t="s">
        <v>3754</v>
      </c>
      <c r="O209" s="165" t="s">
        <v>3739</v>
      </c>
      <c r="P209" s="165" t="s">
        <v>3952</v>
      </c>
      <c r="Q209" s="165" t="s">
        <v>3755</v>
      </c>
      <c r="R209" s="227" t="s">
        <v>3742</v>
      </c>
      <c r="S209" s="227">
        <v>3.2</v>
      </c>
      <c r="T209" s="227">
        <v>53</v>
      </c>
      <c r="U209" s="227">
        <v>45</v>
      </c>
      <c r="V209" s="227">
        <v>2.7</v>
      </c>
    </row>
    <row r="210" spans="2:22" ht="42" customHeight="1" x14ac:dyDescent="0.25">
      <c r="B210" s="80" t="s">
        <v>4481</v>
      </c>
      <c r="C210" s="204" t="s">
        <v>4504</v>
      </c>
      <c r="D210" s="166" t="s">
        <v>4505</v>
      </c>
      <c r="E210" s="80">
        <v>0</v>
      </c>
      <c r="F210" s="80">
        <v>0</v>
      </c>
      <c r="G210" s="80" t="s">
        <v>3732</v>
      </c>
      <c r="H210" s="166" t="s">
        <v>3936</v>
      </c>
      <c r="I210" s="166" t="s">
        <v>4506</v>
      </c>
      <c r="J210" s="166" t="s">
        <v>4507</v>
      </c>
      <c r="K210" s="166" t="s">
        <v>3752</v>
      </c>
      <c r="L210" s="166" t="s">
        <v>3747</v>
      </c>
      <c r="M210" s="166" t="s">
        <v>3831</v>
      </c>
      <c r="N210" s="166" t="s">
        <v>3754</v>
      </c>
      <c r="O210" s="166" t="s">
        <v>3739</v>
      </c>
      <c r="P210" s="166" t="s">
        <v>3952</v>
      </c>
      <c r="Q210" s="166" t="s">
        <v>3755</v>
      </c>
      <c r="R210" s="227" t="s">
        <v>3742</v>
      </c>
      <c r="S210" s="227">
        <v>3.6</v>
      </c>
      <c r="T210" s="227">
        <v>72</v>
      </c>
      <c r="U210" s="227">
        <v>61.2</v>
      </c>
      <c r="V210" s="227">
        <v>3.1</v>
      </c>
    </row>
    <row r="211" spans="2:22" ht="42" customHeight="1" x14ac:dyDescent="0.25">
      <c r="B211" s="72" t="s">
        <v>4481</v>
      </c>
      <c r="C211" s="201" t="s">
        <v>4508</v>
      </c>
      <c r="D211" s="165" t="s">
        <v>4509</v>
      </c>
      <c r="E211" s="72">
        <v>0</v>
      </c>
      <c r="F211" s="72">
        <v>0</v>
      </c>
      <c r="G211" s="72" t="s">
        <v>3732</v>
      </c>
      <c r="H211" s="165" t="s">
        <v>3936</v>
      </c>
      <c r="I211" s="165" t="s">
        <v>4510</v>
      </c>
      <c r="J211" s="165" t="s">
        <v>4511</v>
      </c>
      <c r="K211" s="165" t="s">
        <v>3778</v>
      </c>
      <c r="L211" s="165" t="s">
        <v>3747</v>
      </c>
      <c r="M211" s="165" t="s">
        <v>3753</v>
      </c>
      <c r="N211" s="165" t="s">
        <v>3738</v>
      </c>
      <c r="O211" s="165" t="s">
        <v>3764</v>
      </c>
      <c r="P211" s="165" t="s">
        <v>3952</v>
      </c>
      <c r="Q211" s="226" t="s">
        <v>3781</v>
      </c>
      <c r="R211" s="227" t="s">
        <v>3742</v>
      </c>
      <c r="S211" s="227">
        <v>3.4</v>
      </c>
      <c r="T211" s="227">
        <v>97</v>
      </c>
      <c r="U211" s="227">
        <v>82.5</v>
      </c>
      <c r="V211" s="227">
        <v>2.9</v>
      </c>
    </row>
    <row r="212" spans="2:22" ht="42" customHeight="1" x14ac:dyDescent="0.25">
      <c r="B212" s="80" t="s">
        <v>4481</v>
      </c>
      <c r="C212" s="204" t="s">
        <v>4512</v>
      </c>
      <c r="D212" s="166" t="s">
        <v>4513</v>
      </c>
      <c r="E212" s="80">
        <v>0</v>
      </c>
      <c r="F212" s="80">
        <v>0</v>
      </c>
      <c r="G212" s="80" t="s">
        <v>3732</v>
      </c>
      <c r="H212" s="166" t="s">
        <v>3983</v>
      </c>
      <c r="I212" s="166" t="s">
        <v>4514</v>
      </c>
      <c r="J212" s="166" t="s">
        <v>4515</v>
      </c>
      <c r="K212" s="166" t="s">
        <v>3735</v>
      </c>
      <c r="L212" s="166" t="s">
        <v>3747</v>
      </c>
      <c r="M212" s="166" t="s">
        <v>3737</v>
      </c>
      <c r="N212" s="166" t="s">
        <v>3754</v>
      </c>
      <c r="O212" s="166" t="s">
        <v>3739</v>
      </c>
      <c r="P212" s="166" t="s">
        <v>3740</v>
      </c>
      <c r="Q212" s="226" t="s">
        <v>3741</v>
      </c>
      <c r="R212" s="227" t="s">
        <v>3742</v>
      </c>
      <c r="S212" s="227">
        <v>9.5</v>
      </c>
      <c r="T212" s="227">
        <v>133</v>
      </c>
      <c r="U212" s="227">
        <v>113</v>
      </c>
      <c r="V212" s="227">
        <v>8.1</v>
      </c>
    </row>
    <row r="213" spans="2:22" ht="42" customHeight="1" x14ac:dyDescent="0.25">
      <c r="B213" s="72" t="s">
        <v>4481</v>
      </c>
      <c r="C213" s="201" t="s">
        <v>4516</v>
      </c>
      <c r="D213" s="165" t="s">
        <v>4517</v>
      </c>
      <c r="E213" s="72">
        <v>0</v>
      </c>
      <c r="F213" s="72">
        <v>0</v>
      </c>
      <c r="G213" s="72" t="s">
        <v>3732</v>
      </c>
      <c r="H213" s="165" t="s">
        <v>3983</v>
      </c>
      <c r="I213" s="165" t="s">
        <v>4518</v>
      </c>
      <c r="J213" s="165" t="s">
        <v>4519</v>
      </c>
      <c r="K213" s="165" t="s">
        <v>3735</v>
      </c>
      <c r="L213" s="165" t="s">
        <v>3747</v>
      </c>
      <c r="M213" s="165" t="s">
        <v>3737</v>
      </c>
      <c r="N213" s="165" t="s">
        <v>3754</v>
      </c>
      <c r="O213" s="165" t="s">
        <v>3739</v>
      </c>
      <c r="P213" s="165" t="s">
        <v>3740</v>
      </c>
      <c r="Q213" s="226" t="s">
        <v>3741</v>
      </c>
      <c r="R213" s="227" t="s">
        <v>3742</v>
      </c>
      <c r="S213" s="227">
        <v>7</v>
      </c>
      <c r="T213" s="227">
        <v>146</v>
      </c>
      <c r="U213" s="227">
        <v>124.1</v>
      </c>
      <c r="V213" s="227">
        <v>6</v>
      </c>
    </row>
    <row r="214" spans="2:22" ht="18" customHeight="1" x14ac:dyDescent="0.25">
      <c r="B214" s="374" t="s">
        <v>4520</v>
      </c>
      <c r="C214" s="374"/>
      <c r="D214" s="374"/>
      <c r="E214" s="374"/>
      <c r="F214" s="374"/>
      <c r="G214" s="374"/>
      <c r="H214" s="374"/>
      <c r="I214" s="374"/>
      <c r="J214" s="374"/>
      <c r="K214" s="374"/>
      <c r="L214" s="374"/>
      <c r="M214" s="374"/>
      <c r="N214" s="374"/>
      <c r="O214" s="374"/>
      <c r="P214" s="374"/>
      <c r="Q214" s="374"/>
    </row>
    <row r="215" spans="2:22" ht="42" customHeight="1" x14ac:dyDescent="0.25">
      <c r="B215" s="72" t="s">
        <v>4521</v>
      </c>
      <c r="C215" s="201" t="s">
        <v>2925</v>
      </c>
      <c r="D215" s="165" t="s">
        <v>4522</v>
      </c>
      <c r="E215" s="72">
        <v>0</v>
      </c>
      <c r="F215" s="72">
        <v>0</v>
      </c>
      <c r="G215" s="72" t="s">
        <v>4523</v>
      </c>
      <c r="H215" s="165" t="s">
        <v>3936</v>
      </c>
      <c r="I215" s="165" t="s">
        <v>4524</v>
      </c>
      <c r="J215" s="165" t="s">
        <v>4525</v>
      </c>
      <c r="K215" s="165" t="s">
        <v>3735</v>
      </c>
      <c r="L215" s="165" t="s">
        <v>3747</v>
      </c>
      <c r="M215" s="165" t="s">
        <v>3930</v>
      </c>
      <c r="N215" s="165" t="s">
        <v>3754</v>
      </c>
      <c r="O215" s="165" t="s">
        <v>3773</v>
      </c>
      <c r="P215" s="165" t="s">
        <v>3740</v>
      </c>
      <c r="Q215" s="226" t="s">
        <v>3814</v>
      </c>
      <c r="R215" s="227" t="s">
        <v>3742</v>
      </c>
      <c r="S215" s="227">
        <v>0</v>
      </c>
      <c r="T215" s="227">
        <v>106</v>
      </c>
      <c r="U215" s="227">
        <v>90.1</v>
      </c>
      <c r="V215" s="227">
        <v>0</v>
      </c>
    </row>
    <row r="216" spans="2:22" ht="42" customHeight="1" x14ac:dyDescent="0.25">
      <c r="B216" s="80" t="s">
        <v>4521</v>
      </c>
      <c r="C216" s="204" t="s">
        <v>2183</v>
      </c>
      <c r="D216" s="166" t="s">
        <v>4526</v>
      </c>
      <c r="E216" s="80">
        <v>0</v>
      </c>
      <c r="F216" s="80">
        <v>0</v>
      </c>
      <c r="G216" s="80" t="s">
        <v>4523</v>
      </c>
      <c r="H216" s="166" t="s">
        <v>3936</v>
      </c>
      <c r="I216" s="166" t="s">
        <v>4527</v>
      </c>
      <c r="J216" s="166" t="s">
        <v>4528</v>
      </c>
      <c r="K216" s="166" t="s">
        <v>3735</v>
      </c>
      <c r="L216" s="166" t="s">
        <v>3747</v>
      </c>
      <c r="M216" s="166" t="s">
        <v>3930</v>
      </c>
      <c r="N216" s="166" t="s">
        <v>3840</v>
      </c>
      <c r="O216" s="166" t="s">
        <v>3773</v>
      </c>
      <c r="P216" s="166" t="s">
        <v>3740</v>
      </c>
      <c r="Q216" s="226" t="s">
        <v>3814</v>
      </c>
      <c r="R216" s="227" t="s">
        <v>3742</v>
      </c>
      <c r="S216" s="227">
        <v>0</v>
      </c>
      <c r="T216" s="227">
        <v>108</v>
      </c>
      <c r="U216" s="227">
        <v>91.8</v>
      </c>
      <c r="V216" s="227">
        <v>0</v>
      </c>
    </row>
    <row r="217" spans="2:22" ht="42" customHeight="1" x14ac:dyDescent="0.25">
      <c r="B217" s="72" t="s">
        <v>4521</v>
      </c>
      <c r="C217" s="201" t="s">
        <v>4529</v>
      </c>
      <c r="D217" s="165" t="s">
        <v>4530</v>
      </c>
      <c r="E217" s="72">
        <v>0</v>
      </c>
      <c r="F217" s="72">
        <v>0</v>
      </c>
      <c r="G217" s="72" t="s">
        <v>4523</v>
      </c>
      <c r="H217" s="165" t="s">
        <v>3936</v>
      </c>
      <c r="I217" s="165" t="s">
        <v>4531</v>
      </c>
      <c r="J217" s="165" t="s">
        <v>4532</v>
      </c>
      <c r="K217" s="165" t="s">
        <v>3735</v>
      </c>
      <c r="L217" s="165" t="s">
        <v>3747</v>
      </c>
      <c r="M217" s="165" t="s">
        <v>3930</v>
      </c>
      <c r="N217" s="165" t="s">
        <v>3754</v>
      </c>
      <c r="O217" s="165" t="s">
        <v>3773</v>
      </c>
      <c r="P217" s="165" t="s">
        <v>3740</v>
      </c>
      <c r="Q217" s="226" t="s">
        <v>3814</v>
      </c>
      <c r="R217" s="227" t="s">
        <v>3742</v>
      </c>
      <c r="S217" s="227">
        <v>0</v>
      </c>
      <c r="T217" s="227">
        <v>110</v>
      </c>
      <c r="U217" s="227">
        <v>93.5</v>
      </c>
      <c r="V217" s="227">
        <v>0</v>
      </c>
    </row>
    <row r="218" spans="2:22" ht="42" customHeight="1" x14ac:dyDescent="0.25">
      <c r="B218" s="80" t="s">
        <v>4521</v>
      </c>
      <c r="C218" s="204" t="s">
        <v>1746</v>
      </c>
      <c r="D218" s="166" t="s">
        <v>4533</v>
      </c>
      <c r="E218" s="80">
        <v>0</v>
      </c>
      <c r="F218" s="80">
        <v>0</v>
      </c>
      <c r="G218" s="80" t="s">
        <v>4523</v>
      </c>
      <c r="H218" s="166" t="s">
        <v>3915</v>
      </c>
      <c r="I218" s="166" t="s">
        <v>4534</v>
      </c>
      <c r="J218" s="166" t="s">
        <v>4535</v>
      </c>
      <c r="K218" s="166" t="s">
        <v>3735</v>
      </c>
      <c r="L218" s="166" t="s">
        <v>3747</v>
      </c>
      <c r="M218" s="166" t="s">
        <v>3930</v>
      </c>
      <c r="N218" s="166" t="s">
        <v>3840</v>
      </c>
      <c r="O218" s="166" t="s">
        <v>3773</v>
      </c>
      <c r="P218" s="166" t="s">
        <v>3740</v>
      </c>
      <c r="Q218" s="226" t="s">
        <v>3814</v>
      </c>
      <c r="R218" s="227" t="s">
        <v>3742</v>
      </c>
      <c r="S218" s="227">
        <v>0</v>
      </c>
      <c r="T218" s="227">
        <v>112</v>
      </c>
      <c r="U218" s="227">
        <v>95.2</v>
      </c>
      <c r="V218" s="227">
        <v>0</v>
      </c>
    </row>
    <row r="219" spans="2:22" ht="42" customHeight="1" x14ac:dyDescent="0.25">
      <c r="B219" s="72" t="s">
        <v>4521</v>
      </c>
      <c r="C219" s="201" t="s">
        <v>4536</v>
      </c>
      <c r="D219" s="165" t="s">
        <v>4537</v>
      </c>
      <c r="E219" s="72">
        <v>0</v>
      </c>
      <c r="F219" s="72">
        <v>0</v>
      </c>
      <c r="G219" s="72" t="s">
        <v>4523</v>
      </c>
      <c r="H219" s="165" t="s">
        <v>3915</v>
      </c>
      <c r="I219" s="165" t="s">
        <v>4538</v>
      </c>
      <c r="J219" s="165" t="s">
        <v>4539</v>
      </c>
      <c r="K219" s="165" t="s">
        <v>3735</v>
      </c>
      <c r="L219" s="165" t="s">
        <v>3736</v>
      </c>
      <c r="M219" s="165" t="s">
        <v>4540</v>
      </c>
      <c r="N219" s="165" t="s">
        <v>3840</v>
      </c>
      <c r="O219" s="165" t="s">
        <v>3773</v>
      </c>
      <c r="P219" s="165" t="s">
        <v>3740</v>
      </c>
      <c r="Q219" s="165" t="s">
        <v>3755</v>
      </c>
      <c r="R219" s="227" t="s">
        <v>3742</v>
      </c>
      <c r="S219" s="227">
        <v>0</v>
      </c>
      <c r="T219" s="227">
        <v>118</v>
      </c>
      <c r="U219" s="227">
        <v>100.3</v>
      </c>
      <c r="V219" s="227">
        <v>0</v>
      </c>
    </row>
    <row r="220" spans="2:22" ht="42" customHeight="1" x14ac:dyDescent="0.25">
      <c r="B220" s="80" t="s">
        <v>4521</v>
      </c>
      <c r="C220" s="204" t="s">
        <v>3298</v>
      </c>
      <c r="D220" s="166" t="s">
        <v>4541</v>
      </c>
      <c r="E220" s="80">
        <v>0</v>
      </c>
      <c r="F220" s="80">
        <v>0</v>
      </c>
      <c r="G220" s="80" t="s">
        <v>4523</v>
      </c>
      <c r="H220" s="166" t="s">
        <v>3915</v>
      </c>
      <c r="I220" s="166" t="s">
        <v>4542</v>
      </c>
      <c r="J220" s="166" t="s">
        <v>4543</v>
      </c>
      <c r="K220" s="166" t="s">
        <v>3735</v>
      </c>
      <c r="L220" s="166" t="s">
        <v>3747</v>
      </c>
      <c r="M220" s="166" t="s">
        <v>3930</v>
      </c>
      <c r="N220" s="166" t="s">
        <v>3754</v>
      </c>
      <c r="O220" s="166" t="s">
        <v>3773</v>
      </c>
      <c r="P220" s="166" t="s">
        <v>3740</v>
      </c>
      <c r="Q220" s="166" t="s">
        <v>3755</v>
      </c>
      <c r="R220" s="227" t="s">
        <v>3742</v>
      </c>
      <c r="S220" s="227">
        <v>0</v>
      </c>
      <c r="T220" s="227">
        <v>120</v>
      </c>
      <c r="U220" s="227">
        <v>102</v>
      </c>
      <c r="V220" s="227">
        <v>0</v>
      </c>
    </row>
    <row r="221" spans="2:22" ht="42" customHeight="1" x14ac:dyDescent="0.25">
      <c r="B221" s="72" t="s">
        <v>4521</v>
      </c>
      <c r="C221" s="201" t="s">
        <v>2140</v>
      </c>
      <c r="D221" s="165" t="s">
        <v>4544</v>
      </c>
      <c r="E221" s="72">
        <v>0</v>
      </c>
      <c r="F221" s="72">
        <v>0</v>
      </c>
      <c r="G221" s="72" t="s">
        <v>4523</v>
      </c>
      <c r="H221" s="165" t="s">
        <v>3915</v>
      </c>
      <c r="I221" s="165" t="s">
        <v>3928</v>
      </c>
      <c r="J221" s="165" t="s">
        <v>4545</v>
      </c>
      <c r="K221" s="165" t="s">
        <v>3735</v>
      </c>
      <c r="L221" s="165" t="s">
        <v>3747</v>
      </c>
      <c r="M221" s="165" t="s">
        <v>3930</v>
      </c>
      <c r="N221" s="165" t="s">
        <v>3754</v>
      </c>
      <c r="O221" s="165" t="s">
        <v>3773</v>
      </c>
      <c r="P221" s="165" t="s">
        <v>3740</v>
      </c>
      <c r="Q221" s="165" t="s">
        <v>3755</v>
      </c>
      <c r="R221" s="227" t="s">
        <v>3742</v>
      </c>
      <c r="S221" s="227">
        <v>0</v>
      </c>
      <c r="T221" s="227">
        <v>127</v>
      </c>
      <c r="U221" s="227">
        <v>108</v>
      </c>
      <c r="V221" s="227">
        <v>0</v>
      </c>
    </row>
    <row r="222" spans="2:22" ht="42" customHeight="1" x14ac:dyDescent="0.25">
      <c r="B222" s="80" t="s">
        <v>4521</v>
      </c>
      <c r="C222" s="204" t="s">
        <v>4546</v>
      </c>
      <c r="D222" s="166" t="s">
        <v>4547</v>
      </c>
      <c r="E222" s="80">
        <v>0</v>
      </c>
      <c r="F222" s="80">
        <v>0</v>
      </c>
      <c r="G222" s="80" t="s">
        <v>4523</v>
      </c>
      <c r="H222" s="166" t="s">
        <v>2348</v>
      </c>
      <c r="I222" s="166" t="s">
        <v>4548</v>
      </c>
      <c r="J222" s="166" t="s">
        <v>4549</v>
      </c>
      <c r="K222" s="166" t="s">
        <v>3778</v>
      </c>
      <c r="L222" s="166" t="s">
        <v>3736</v>
      </c>
      <c r="M222" s="166" t="s">
        <v>4550</v>
      </c>
      <c r="N222" s="166" t="s">
        <v>3754</v>
      </c>
      <c r="O222" s="166" t="s">
        <v>3773</v>
      </c>
      <c r="P222" s="166" t="s">
        <v>3740</v>
      </c>
      <c r="Q222" s="166" t="s">
        <v>3755</v>
      </c>
      <c r="R222" s="227" t="s">
        <v>3742</v>
      </c>
      <c r="S222" s="227">
        <v>0</v>
      </c>
      <c r="T222" s="227">
        <v>133</v>
      </c>
      <c r="U222" s="227">
        <v>113</v>
      </c>
      <c r="V222" s="227">
        <v>0</v>
      </c>
    </row>
    <row r="223" spans="2:22" ht="42" customHeight="1" x14ac:dyDescent="0.25">
      <c r="B223" s="72" t="s">
        <v>4521</v>
      </c>
      <c r="C223" s="201" t="s">
        <v>4551</v>
      </c>
      <c r="D223" s="165" t="s">
        <v>4552</v>
      </c>
      <c r="E223" s="72">
        <v>0</v>
      </c>
      <c r="F223" s="72">
        <v>0</v>
      </c>
      <c r="G223" s="72" t="s">
        <v>4523</v>
      </c>
      <c r="H223" s="165" t="s">
        <v>4024</v>
      </c>
      <c r="I223" s="165" t="s">
        <v>4553</v>
      </c>
      <c r="J223" s="165" t="s">
        <v>4554</v>
      </c>
      <c r="K223" s="165" t="s">
        <v>3778</v>
      </c>
      <c r="L223" s="165" t="s">
        <v>3736</v>
      </c>
      <c r="M223" s="165" t="s">
        <v>4555</v>
      </c>
      <c r="N223" s="165" t="s">
        <v>3754</v>
      </c>
      <c r="O223" s="165" t="s">
        <v>3773</v>
      </c>
      <c r="P223" s="165" t="s">
        <v>3740</v>
      </c>
      <c r="Q223" s="165" t="s">
        <v>3755</v>
      </c>
      <c r="R223" s="227" t="s">
        <v>3742</v>
      </c>
      <c r="S223" s="227">
        <v>0</v>
      </c>
      <c r="T223" s="227">
        <v>136</v>
      </c>
      <c r="U223" s="227">
        <v>115.6</v>
      </c>
      <c r="V223" s="227">
        <v>0</v>
      </c>
    </row>
    <row r="224" spans="2:22" ht="42" customHeight="1" x14ac:dyDescent="0.25">
      <c r="B224" s="80" t="s">
        <v>4521</v>
      </c>
      <c r="C224" s="204" t="s">
        <v>2028</v>
      </c>
      <c r="D224" s="166" t="s">
        <v>4556</v>
      </c>
      <c r="E224" s="80">
        <v>0</v>
      </c>
      <c r="F224" s="80">
        <v>0</v>
      </c>
      <c r="G224" s="80" t="s">
        <v>4523</v>
      </c>
      <c r="H224" s="166" t="s">
        <v>2348</v>
      </c>
      <c r="I224" s="166" t="s">
        <v>4557</v>
      </c>
      <c r="J224" s="166" t="s">
        <v>4558</v>
      </c>
      <c r="K224" s="166" t="s">
        <v>3735</v>
      </c>
      <c r="L224" s="166" t="s">
        <v>3736</v>
      </c>
      <c r="M224" s="166" t="s">
        <v>3772</v>
      </c>
      <c r="N224" s="166" t="s">
        <v>3754</v>
      </c>
      <c r="O224" s="166" t="s">
        <v>3739</v>
      </c>
      <c r="P224" s="166" t="s">
        <v>3740</v>
      </c>
      <c r="Q224" s="166" t="s">
        <v>3755</v>
      </c>
      <c r="R224" s="227" t="s">
        <v>3742</v>
      </c>
      <c r="S224" s="227">
        <v>0</v>
      </c>
      <c r="T224" s="227">
        <v>148</v>
      </c>
      <c r="U224" s="227">
        <v>125.8</v>
      </c>
      <c r="V224" s="227">
        <v>0</v>
      </c>
    </row>
    <row r="225" spans="2:22" ht="42" customHeight="1" x14ac:dyDescent="0.25">
      <c r="B225" s="72" t="s">
        <v>4521</v>
      </c>
      <c r="C225" s="201" t="s">
        <v>2464</v>
      </c>
      <c r="D225" s="165" t="s">
        <v>4559</v>
      </c>
      <c r="E225" s="72">
        <v>0</v>
      </c>
      <c r="F225" s="72">
        <v>0</v>
      </c>
      <c r="G225" s="72" t="s">
        <v>4523</v>
      </c>
      <c r="H225" s="165" t="s">
        <v>2348</v>
      </c>
      <c r="I225" s="165" t="s">
        <v>4560</v>
      </c>
      <c r="J225" s="165" t="s">
        <v>4561</v>
      </c>
      <c r="K225" s="165" t="s">
        <v>3874</v>
      </c>
      <c r="L225" s="165" t="s">
        <v>3779</v>
      </c>
      <c r="M225" s="165" t="s">
        <v>4562</v>
      </c>
      <c r="N225" s="165" t="s">
        <v>3790</v>
      </c>
      <c r="O225" s="165" t="s">
        <v>3773</v>
      </c>
      <c r="P225" s="165" t="s">
        <v>3740</v>
      </c>
      <c r="Q225" s="226" t="s">
        <v>3781</v>
      </c>
      <c r="R225" s="227" t="s">
        <v>3742</v>
      </c>
      <c r="S225" s="227">
        <v>0</v>
      </c>
      <c r="T225" s="227">
        <v>167</v>
      </c>
      <c r="U225" s="227">
        <v>141.9</v>
      </c>
      <c r="V225" s="227">
        <v>0</v>
      </c>
    </row>
    <row r="226" spans="2:22" ht="42" customHeight="1" x14ac:dyDescent="0.25">
      <c r="B226" s="80" t="s">
        <v>4521</v>
      </c>
      <c r="C226" s="204" t="s">
        <v>4563</v>
      </c>
      <c r="D226" s="166" t="s">
        <v>4564</v>
      </c>
      <c r="E226" s="80">
        <v>0</v>
      </c>
      <c r="F226" s="80">
        <v>0</v>
      </c>
      <c r="G226" s="80" t="s">
        <v>4523</v>
      </c>
      <c r="H226" s="166" t="s">
        <v>3867</v>
      </c>
      <c r="I226" s="166" t="s">
        <v>3897</v>
      </c>
      <c r="J226" s="166" t="s">
        <v>4565</v>
      </c>
      <c r="K226" s="166" t="s">
        <v>3879</v>
      </c>
      <c r="L226" s="166" t="s">
        <v>3736</v>
      </c>
      <c r="M226" s="166" t="s">
        <v>3772</v>
      </c>
      <c r="N226" s="166" t="s">
        <v>3880</v>
      </c>
      <c r="O226" s="166" t="s">
        <v>3773</v>
      </c>
      <c r="P226" s="166" t="s">
        <v>3740</v>
      </c>
      <c r="Q226" s="166" t="s">
        <v>3755</v>
      </c>
      <c r="R226" s="227" t="s">
        <v>3742</v>
      </c>
      <c r="S226" s="227">
        <v>0</v>
      </c>
      <c r="T226" s="227">
        <v>179</v>
      </c>
      <c r="U226" s="227">
        <v>152.19999999999999</v>
      </c>
      <c r="V226" s="227">
        <v>0</v>
      </c>
    </row>
    <row r="227" spans="2:22" ht="18" customHeight="1" x14ac:dyDescent="0.25">
      <c r="B227" s="374" t="s">
        <v>4566</v>
      </c>
      <c r="C227" s="374"/>
      <c r="D227" s="374"/>
      <c r="E227" s="374"/>
      <c r="F227" s="374"/>
      <c r="G227" s="374"/>
      <c r="H227" s="374"/>
      <c r="I227" s="374"/>
      <c r="J227" s="374"/>
      <c r="K227" s="374"/>
      <c r="L227" s="374"/>
      <c r="M227" s="374"/>
      <c r="N227" s="374"/>
      <c r="O227" s="374"/>
      <c r="P227" s="374"/>
      <c r="Q227" s="374"/>
    </row>
    <row r="228" spans="2:22" ht="42" customHeight="1" x14ac:dyDescent="0.25">
      <c r="B228" s="80" t="s">
        <v>4567</v>
      </c>
      <c r="C228" s="204" t="s">
        <v>4568</v>
      </c>
      <c r="D228" s="166" t="s">
        <v>4569</v>
      </c>
      <c r="E228" s="80">
        <v>0</v>
      </c>
      <c r="F228" s="80">
        <v>0</v>
      </c>
      <c r="G228" s="80" t="s">
        <v>4523</v>
      </c>
      <c r="H228" s="166" t="s">
        <v>3936</v>
      </c>
      <c r="I228" s="166" t="s">
        <v>4570</v>
      </c>
      <c r="J228" s="166" t="s">
        <v>4571</v>
      </c>
      <c r="K228" s="166" t="s">
        <v>3778</v>
      </c>
      <c r="L228" s="166" t="s">
        <v>3736</v>
      </c>
      <c r="M228" s="166" t="s">
        <v>3753</v>
      </c>
      <c r="N228" s="166" t="s">
        <v>3754</v>
      </c>
      <c r="O228" s="166" t="s">
        <v>3773</v>
      </c>
      <c r="P228" s="166" t="s">
        <v>3740</v>
      </c>
      <c r="Q228" s="166" t="s">
        <v>3755</v>
      </c>
      <c r="R228" s="227" t="s">
        <v>4095</v>
      </c>
      <c r="S228" s="227">
        <v>0</v>
      </c>
      <c r="T228" s="227">
        <v>98</v>
      </c>
      <c r="U228" s="227">
        <v>83.3</v>
      </c>
      <c r="V228" s="227">
        <v>0</v>
      </c>
    </row>
    <row r="229" spans="2:22" ht="42" customHeight="1" x14ac:dyDescent="0.25">
      <c r="B229" s="72" t="s">
        <v>4567</v>
      </c>
      <c r="C229" s="201" t="s">
        <v>2714</v>
      </c>
      <c r="D229" s="165" t="s">
        <v>4572</v>
      </c>
      <c r="E229" s="72">
        <v>0</v>
      </c>
      <c r="F229" s="72">
        <v>0</v>
      </c>
      <c r="G229" s="72" t="s">
        <v>4523</v>
      </c>
      <c r="H229" s="165" t="s">
        <v>3800</v>
      </c>
      <c r="I229" s="165" t="s">
        <v>4573</v>
      </c>
      <c r="J229" s="165" t="s">
        <v>4574</v>
      </c>
      <c r="K229" s="165" t="s">
        <v>3752</v>
      </c>
      <c r="L229" s="165" t="s">
        <v>3763</v>
      </c>
      <c r="M229" s="165" t="s">
        <v>3753</v>
      </c>
      <c r="N229" s="165" t="s">
        <v>3840</v>
      </c>
      <c r="O229" s="165" t="s">
        <v>3739</v>
      </c>
      <c r="P229" s="165" t="s">
        <v>3740</v>
      </c>
      <c r="Q229" s="165" t="s">
        <v>3755</v>
      </c>
      <c r="R229" s="227" t="s">
        <v>4095</v>
      </c>
      <c r="S229" s="227">
        <v>0</v>
      </c>
      <c r="T229" s="227">
        <v>121</v>
      </c>
      <c r="U229" s="227">
        <v>102.8</v>
      </c>
      <c r="V229" s="227">
        <v>0</v>
      </c>
    </row>
    <row r="230" spans="2:22" ht="42" customHeight="1" x14ac:dyDescent="0.25">
      <c r="B230" s="80" t="s">
        <v>4567</v>
      </c>
      <c r="C230" s="204" t="s">
        <v>1642</v>
      </c>
      <c r="D230" s="166" t="s">
        <v>4575</v>
      </c>
      <c r="E230" s="80">
        <v>0</v>
      </c>
      <c r="F230" s="80">
        <v>0</v>
      </c>
      <c r="G230" s="80" t="s">
        <v>4523</v>
      </c>
      <c r="H230" s="166" t="s">
        <v>3949</v>
      </c>
      <c r="I230" s="166" t="s">
        <v>4576</v>
      </c>
      <c r="J230" s="166" t="s">
        <v>4577</v>
      </c>
      <c r="K230" s="166" t="s">
        <v>3752</v>
      </c>
      <c r="L230" s="166" t="s">
        <v>3763</v>
      </c>
      <c r="M230" s="166" t="s">
        <v>3753</v>
      </c>
      <c r="N230" s="166" t="s">
        <v>3840</v>
      </c>
      <c r="O230" s="166" t="s">
        <v>3739</v>
      </c>
      <c r="P230" s="166" t="s">
        <v>3740</v>
      </c>
      <c r="Q230" s="166" t="s">
        <v>3755</v>
      </c>
      <c r="R230" s="227" t="s">
        <v>4095</v>
      </c>
      <c r="S230" s="227">
        <v>0</v>
      </c>
      <c r="T230" s="227">
        <v>124</v>
      </c>
      <c r="U230" s="227">
        <v>105.4</v>
      </c>
      <c r="V230" s="227">
        <v>0</v>
      </c>
    </row>
    <row r="231" spans="2:22" ht="42" customHeight="1" x14ac:dyDescent="0.25">
      <c r="B231" s="72" t="s">
        <v>4567</v>
      </c>
      <c r="C231" s="201" t="s">
        <v>4578</v>
      </c>
      <c r="D231" s="165" t="s">
        <v>4579</v>
      </c>
      <c r="E231" s="72">
        <v>0</v>
      </c>
      <c r="F231" s="72">
        <v>0</v>
      </c>
      <c r="G231" s="72" t="s">
        <v>4523</v>
      </c>
      <c r="H231" s="165" t="s">
        <v>4165</v>
      </c>
      <c r="I231" s="165" t="s">
        <v>4580</v>
      </c>
      <c r="J231" s="165" t="s">
        <v>4581</v>
      </c>
      <c r="K231" s="165" t="s">
        <v>3752</v>
      </c>
      <c r="L231" s="165" t="s">
        <v>3763</v>
      </c>
      <c r="M231" s="165" t="s">
        <v>3772</v>
      </c>
      <c r="N231" s="165" t="s">
        <v>3754</v>
      </c>
      <c r="O231" s="165" t="s">
        <v>3739</v>
      </c>
      <c r="P231" s="165" t="s">
        <v>3740</v>
      </c>
      <c r="Q231" s="165" t="s">
        <v>3755</v>
      </c>
      <c r="R231" s="227" t="s">
        <v>4095</v>
      </c>
      <c r="S231" s="227">
        <v>0</v>
      </c>
      <c r="T231" s="227">
        <v>131</v>
      </c>
      <c r="U231" s="227">
        <v>111.3</v>
      </c>
      <c r="V231" s="227">
        <v>0</v>
      </c>
    </row>
    <row r="232" spans="2:22" ht="42" customHeight="1" x14ac:dyDescent="0.25">
      <c r="B232" s="80" t="s">
        <v>4567</v>
      </c>
      <c r="C232" s="204" t="s">
        <v>4582</v>
      </c>
      <c r="D232" s="166" t="s">
        <v>4583</v>
      </c>
      <c r="E232" s="80">
        <v>0</v>
      </c>
      <c r="F232" s="80">
        <v>0</v>
      </c>
      <c r="G232" s="80" t="s">
        <v>4523</v>
      </c>
      <c r="H232" s="166" t="s">
        <v>4165</v>
      </c>
      <c r="I232" s="166" t="s">
        <v>4584</v>
      </c>
      <c r="J232" s="166" t="s">
        <v>4585</v>
      </c>
      <c r="K232" s="166" t="s">
        <v>3752</v>
      </c>
      <c r="L232" s="166" t="s">
        <v>3763</v>
      </c>
      <c r="M232" s="166" t="s">
        <v>3772</v>
      </c>
      <c r="N232" s="166" t="s">
        <v>3754</v>
      </c>
      <c r="O232" s="166" t="s">
        <v>3764</v>
      </c>
      <c r="P232" s="166" t="s">
        <v>3740</v>
      </c>
      <c r="Q232" s="166" t="s">
        <v>3755</v>
      </c>
      <c r="R232" s="227" t="s">
        <v>4095</v>
      </c>
      <c r="S232" s="227">
        <v>0</v>
      </c>
      <c r="T232" s="227">
        <v>136</v>
      </c>
      <c r="U232" s="227">
        <v>115.6</v>
      </c>
      <c r="V232" s="227">
        <v>0</v>
      </c>
    </row>
    <row r="233" spans="2:22" ht="42" customHeight="1" x14ac:dyDescent="0.25">
      <c r="B233" s="72" t="s">
        <v>4567</v>
      </c>
      <c r="C233" s="201" t="s">
        <v>4586</v>
      </c>
      <c r="D233" s="165" t="s">
        <v>4587</v>
      </c>
      <c r="E233" s="72">
        <v>0</v>
      </c>
      <c r="F233" s="72">
        <v>0</v>
      </c>
      <c r="G233" s="72" t="s">
        <v>4523</v>
      </c>
      <c r="H233" s="165" t="s">
        <v>4165</v>
      </c>
      <c r="I233" s="165" t="s">
        <v>4588</v>
      </c>
      <c r="J233" s="165" t="s">
        <v>4589</v>
      </c>
      <c r="K233" s="165" t="s">
        <v>3752</v>
      </c>
      <c r="L233" s="165" t="s">
        <v>3763</v>
      </c>
      <c r="M233" s="165" t="s">
        <v>3772</v>
      </c>
      <c r="N233" s="165" t="s">
        <v>3754</v>
      </c>
      <c r="O233" s="165" t="s">
        <v>3739</v>
      </c>
      <c r="P233" s="165" t="s">
        <v>3740</v>
      </c>
      <c r="Q233" s="165" t="s">
        <v>3755</v>
      </c>
      <c r="R233" s="227" t="s">
        <v>4095</v>
      </c>
      <c r="S233" s="227">
        <v>0</v>
      </c>
      <c r="T233" s="227">
        <v>139</v>
      </c>
      <c r="U233" s="227">
        <v>118.1</v>
      </c>
      <c r="V233" s="227">
        <v>0</v>
      </c>
    </row>
    <row r="234" spans="2:22" ht="42" customHeight="1" x14ac:dyDescent="0.25">
      <c r="B234" s="80" t="s">
        <v>4567</v>
      </c>
      <c r="C234" s="204" t="s">
        <v>4590</v>
      </c>
      <c r="D234" s="166" t="s">
        <v>4591</v>
      </c>
      <c r="E234" s="80">
        <v>0</v>
      </c>
      <c r="F234" s="80">
        <v>0</v>
      </c>
      <c r="G234" s="80" t="s">
        <v>4523</v>
      </c>
      <c r="H234" s="166" t="s">
        <v>4024</v>
      </c>
      <c r="I234" s="166" t="s">
        <v>4592</v>
      </c>
      <c r="J234" s="166" t="s">
        <v>4593</v>
      </c>
      <c r="K234" s="166" t="s">
        <v>3752</v>
      </c>
      <c r="L234" s="166" t="s">
        <v>3763</v>
      </c>
      <c r="M234" s="166" t="s">
        <v>3772</v>
      </c>
      <c r="N234" s="166" t="s">
        <v>3754</v>
      </c>
      <c r="O234" s="166" t="s">
        <v>3739</v>
      </c>
      <c r="P234" s="166" t="s">
        <v>3740</v>
      </c>
      <c r="Q234" s="166" t="s">
        <v>3755</v>
      </c>
      <c r="R234" s="227" t="s">
        <v>4095</v>
      </c>
      <c r="S234" s="227">
        <v>0</v>
      </c>
      <c r="T234" s="227">
        <v>148</v>
      </c>
      <c r="U234" s="227">
        <v>125.8</v>
      </c>
      <c r="V234" s="227">
        <v>0</v>
      </c>
    </row>
    <row r="235" spans="2:22" ht="42" customHeight="1" x14ac:dyDescent="0.25">
      <c r="B235" s="72" t="s">
        <v>4567</v>
      </c>
      <c r="C235" s="201" t="s">
        <v>4594</v>
      </c>
      <c r="D235" s="165" t="s">
        <v>4595</v>
      </c>
      <c r="E235" s="72">
        <v>0</v>
      </c>
      <c r="F235" s="72">
        <v>0</v>
      </c>
      <c r="G235" s="72" t="s">
        <v>4523</v>
      </c>
      <c r="H235" s="165" t="s">
        <v>4165</v>
      </c>
      <c r="I235" s="165" t="s">
        <v>4596</v>
      </c>
      <c r="J235" s="165" t="s">
        <v>4597</v>
      </c>
      <c r="K235" s="165" t="s">
        <v>3752</v>
      </c>
      <c r="L235" s="165" t="s">
        <v>3763</v>
      </c>
      <c r="M235" s="165" t="s">
        <v>3772</v>
      </c>
      <c r="N235" s="165" t="s">
        <v>3840</v>
      </c>
      <c r="O235" s="165" t="s">
        <v>3739</v>
      </c>
      <c r="P235" s="165" t="s">
        <v>3740</v>
      </c>
      <c r="Q235" s="165" t="s">
        <v>3755</v>
      </c>
      <c r="R235" s="227" t="s">
        <v>4095</v>
      </c>
      <c r="S235" s="227">
        <v>0</v>
      </c>
      <c r="T235" s="227">
        <v>153</v>
      </c>
      <c r="U235" s="227">
        <v>130</v>
      </c>
      <c r="V235" s="227">
        <v>0</v>
      </c>
    </row>
    <row r="236" spans="2:22" ht="42" customHeight="1" x14ac:dyDescent="0.25">
      <c r="B236" s="80" t="s">
        <v>4567</v>
      </c>
      <c r="C236" s="204" t="s">
        <v>4598</v>
      </c>
      <c r="D236" s="166" t="s">
        <v>4599</v>
      </c>
      <c r="E236" s="80">
        <v>0</v>
      </c>
      <c r="F236" s="80">
        <v>0</v>
      </c>
      <c r="G236" s="80" t="s">
        <v>4523</v>
      </c>
      <c r="H236" s="166" t="s">
        <v>4165</v>
      </c>
      <c r="I236" s="166" t="s">
        <v>4600</v>
      </c>
      <c r="J236" s="166" t="s">
        <v>4601</v>
      </c>
      <c r="K236" s="166" t="s">
        <v>3752</v>
      </c>
      <c r="L236" s="166" t="s">
        <v>3763</v>
      </c>
      <c r="M236" s="166" t="s">
        <v>3772</v>
      </c>
      <c r="N236" s="166" t="s">
        <v>3754</v>
      </c>
      <c r="O236" s="166" t="s">
        <v>3739</v>
      </c>
      <c r="P236" s="166" t="s">
        <v>3740</v>
      </c>
      <c r="Q236" s="166" t="s">
        <v>3755</v>
      </c>
      <c r="R236" s="227" t="s">
        <v>4095</v>
      </c>
      <c r="S236" s="227">
        <v>0</v>
      </c>
      <c r="T236" s="227">
        <v>158</v>
      </c>
      <c r="U236" s="227">
        <v>134.30000000000001</v>
      </c>
      <c r="V236" s="227">
        <v>0</v>
      </c>
    </row>
    <row r="237" spans="2:22" ht="42" customHeight="1" x14ac:dyDescent="0.25">
      <c r="B237" s="72" t="s">
        <v>4567</v>
      </c>
      <c r="C237" s="201" t="s">
        <v>2282</v>
      </c>
      <c r="D237" s="165" t="s">
        <v>4602</v>
      </c>
      <c r="E237" s="72">
        <v>0</v>
      </c>
      <c r="F237" s="72">
        <v>0</v>
      </c>
      <c r="G237" s="72" t="s">
        <v>4523</v>
      </c>
      <c r="H237" s="165" t="s">
        <v>4165</v>
      </c>
      <c r="I237" s="165" t="s">
        <v>4603</v>
      </c>
      <c r="J237" s="165" t="s">
        <v>4604</v>
      </c>
      <c r="K237" s="165" t="s">
        <v>3752</v>
      </c>
      <c r="L237" s="165" t="s">
        <v>3763</v>
      </c>
      <c r="M237" s="165" t="s">
        <v>3772</v>
      </c>
      <c r="N237" s="165" t="s">
        <v>3754</v>
      </c>
      <c r="O237" s="165" t="s">
        <v>3764</v>
      </c>
      <c r="P237" s="165" t="s">
        <v>3740</v>
      </c>
      <c r="Q237" s="165" t="s">
        <v>3755</v>
      </c>
      <c r="R237" s="227" t="s">
        <v>4095</v>
      </c>
      <c r="S237" s="227">
        <v>0</v>
      </c>
      <c r="T237" s="227">
        <v>164</v>
      </c>
      <c r="U237" s="227">
        <v>139.4</v>
      </c>
      <c r="V237" s="227">
        <v>0</v>
      </c>
    </row>
    <row r="238" spans="2:22" ht="42" customHeight="1" x14ac:dyDescent="0.25">
      <c r="B238" s="80" t="s">
        <v>4567</v>
      </c>
      <c r="C238" s="204" t="s">
        <v>4605</v>
      </c>
      <c r="D238" s="166" t="s">
        <v>4606</v>
      </c>
      <c r="E238" s="80">
        <v>0</v>
      </c>
      <c r="F238" s="80">
        <v>0</v>
      </c>
      <c r="G238" s="80" t="s">
        <v>4523</v>
      </c>
      <c r="H238" s="166" t="s">
        <v>3867</v>
      </c>
      <c r="I238" s="166" t="s">
        <v>4607</v>
      </c>
      <c r="J238" s="166" t="s">
        <v>4608</v>
      </c>
      <c r="K238" s="166" t="s">
        <v>3778</v>
      </c>
      <c r="L238" s="166" t="s">
        <v>3736</v>
      </c>
      <c r="M238" s="166" t="s">
        <v>4609</v>
      </c>
      <c r="N238" s="166" t="s">
        <v>3790</v>
      </c>
      <c r="O238" s="166" t="s">
        <v>3773</v>
      </c>
      <c r="P238" s="166" t="s">
        <v>3740</v>
      </c>
      <c r="Q238" s="226" t="s">
        <v>3781</v>
      </c>
      <c r="R238" s="227" t="s">
        <v>4095</v>
      </c>
      <c r="S238" s="227">
        <v>0</v>
      </c>
      <c r="T238" s="227">
        <v>172</v>
      </c>
      <c r="U238" s="227">
        <v>146.19999999999999</v>
      </c>
      <c r="V238" s="227">
        <v>0</v>
      </c>
    </row>
    <row r="239" spans="2:22" ht="42" customHeight="1" x14ac:dyDescent="0.25">
      <c r="B239" s="72" t="s">
        <v>4567</v>
      </c>
      <c r="C239" s="201" t="s">
        <v>4610</v>
      </c>
      <c r="D239" s="165" t="s">
        <v>4611</v>
      </c>
      <c r="E239" s="72">
        <v>0</v>
      </c>
      <c r="F239" s="72">
        <v>0</v>
      </c>
      <c r="G239" s="72" t="s">
        <v>4523</v>
      </c>
      <c r="H239" s="165" t="s">
        <v>3867</v>
      </c>
      <c r="I239" s="165" t="s">
        <v>4612</v>
      </c>
      <c r="J239" s="165" t="s">
        <v>4613</v>
      </c>
      <c r="K239" s="165" t="s">
        <v>3778</v>
      </c>
      <c r="L239" s="165" t="s">
        <v>3736</v>
      </c>
      <c r="M239" s="165" t="s">
        <v>4614</v>
      </c>
      <c r="N239" s="165" t="s">
        <v>3790</v>
      </c>
      <c r="O239" s="165" t="s">
        <v>3739</v>
      </c>
      <c r="P239" s="165" t="s">
        <v>3740</v>
      </c>
      <c r="Q239" s="226" t="s">
        <v>3781</v>
      </c>
      <c r="R239" s="227" t="s">
        <v>4095</v>
      </c>
      <c r="S239" s="227">
        <v>0</v>
      </c>
      <c r="T239" s="227">
        <v>174</v>
      </c>
      <c r="U239" s="227">
        <v>147.9</v>
      </c>
      <c r="V239" s="227">
        <v>0</v>
      </c>
    </row>
    <row r="240" spans="2:22" ht="42" customHeight="1" x14ac:dyDescent="0.25">
      <c r="B240" s="80" t="s">
        <v>4567</v>
      </c>
      <c r="C240" s="204" t="s">
        <v>1856</v>
      </c>
      <c r="D240" s="166" t="s">
        <v>4615</v>
      </c>
      <c r="E240" s="80">
        <v>0</v>
      </c>
      <c r="F240" s="80">
        <v>0</v>
      </c>
      <c r="G240" s="80" t="s">
        <v>4523</v>
      </c>
      <c r="H240" s="166" t="s">
        <v>4024</v>
      </c>
      <c r="I240" s="166" t="s">
        <v>4616</v>
      </c>
      <c r="J240" s="166" t="s">
        <v>4617</v>
      </c>
      <c r="K240" s="166" t="s">
        <v>3735</v>
      </c>
      <c r="L240" s="166" t="s">
        <v>3736</v>
      </c>
      <c r="M240" s="166" t="s">
        <v>3772</v>
      </c>
      <c r="N240" s="166" t="s">
        <v>3754</v>
      </c>
      <c r="O240" s="166" t="s">
        <v>3773</v>
      </c>
      <c r="P240" s="166" t="s">
        <v>3740</v>
      </c>
      <c r="Q240" s="166" t="s">
        <v>3755</v>
      </c>
      <c r="R240" s="227" t="s">
        <v>4095</v>
      </c>
      <c r="S240" s="227">
        <v>0</v>
      </c>
      <c r="T240" s="227">
        <v>199</v>
      </c>
      <c r="U240" s="227">
        <v>169.2</v>
      </c>
      <c r="V240" s="227">
        <v>0</v>
      </c>
    </row>
    <row r="241" spans="2:22" ht="42" customHeight="1" x14ac:dyDescent="0.25">
      <c r="B241" s="72" t="s">
        <v>4567</v>
      </c>
      <c r="C241" s="201" t="s">
        <v>1777</v>
      </c>
      <c r="D241" s="165" t="s">
        <v>4618</v>
      </c>
      <c r="E241" s="72">
        <v>0</v>
      </c>
      <c r="F241" s="72">
        <v>0</v>
      </c>
      <c r="G241" s="72" t="s">
        <v>4523</v>
      </c>
      <c r="H241" s="165" t="s">
        <v>3867</v>
      </c>
      <c r="I241" s="165" t="s">
        <v>4619</v>
      </c>
      <c r="J241" s="165" t="s">
        <v>4620</v>
      </c>
      <c r="K241" s="165" t="s">
        <v>3735</v>
      </c>
      <c r="L241" s="165" t="s">
        <v>3736</v>
      </c>
      <c r="M241" s="165" t="s">
        <v>3772</v>
      </c>
      <c r="N241" s="165" t="s">
        <v>3880</v>
      </c>
      <c r="O241" s="165" t="s">
        <v>3773</v>
      </c>
      <c r="P241" s="165" t="s">
        <v>3740</v>
      </c>
      <c r="Q241" s="165" t="s">
        <v>3755</v>
      </c>
      <c r="R241" s="227" t="s">
        <v>3742</v>
      </c>
      <c r="S241" s="227">
        <v>0</v>
      </c>
      <c r="T241" s="227">
        <v>191</v>
      </c>
      <c r="U241" s="227">
        <v>162.30000000000001</v>
      </c>
      <c r="V241" s="227">
        <v>0</v>
      </c>
    </row>
    <row r="242" spans="2:22" ht="42" customHeight="1" x14ac:dyDescent="0.25">
      <c r="B242" s="80" t="s">
        <v>4567</v>
      </c>
      <c r="C242" s="204" t="s">
        <v>4621</v>
      </c>
      <c r="D242" s="166" t="s">
        <v>4622</v>
      </c>
      <c r="E242" s="80">
        <v>0</v>
      </c>
      <c r="F242" s="80">
        <v>0</v>
      </c>
      <c r="G242" s="80" t="s">
        <v>4523</v>
      </c>
      <c r="H242" s="166" t="s">
        <v>4024</v>
      </c>
      <c r="I242" s="166" t="s">
        <v>4623</v>
      </c>
      <c r="J242" s="166" t="s">
        <v>4624</v>
      </c>
      <c r="K242" s="166" t="s">
        <v>3879</v>
      </c>
      <c r="L242" s="166" t="s">
        <v>3779</v>
      </c>
      <c r="M242" s="166" t="s">
        <v>3772</v>
      </c>
      <c r="N242" s="166" t="s">
        <v>3880</v>
      </c>
      <c r="O242" s="166" t="s">
        <v>3773</v>
      </c>
      <c r="P242" s="166" t="s">
        <v>3740</v>
      </c>
      <c r="Q242" s="166" t="s">
        <v>3755</v>
      </c>
      <c r="R242" s="227" t="s">
        <v>3742</v>
      </c>
      <c r="S242" s="227">
        <v>0</v>
      </c>
      <c r="T242" s="227">
        <v>181</v>
      </c>
      <c r="U242" s="227">
        <v>153.80000000000001</v>
      </c>
      <c r="V242" s="227">
        <v>0</v>
      </c>
    </row>
    <row r="243" spans="2:22" ht="18" customHeight="1" x14ac:dyDescent="0.25">
      <c r="B243" s="374" t="s">
        <v>4625</v>
      </c>
      <c r="C243" s="374"/>
      <c r="D243" s="374"/>
      <c r="E243" s="374"/>
      <c r="F243" s="374"/>
      <c r="G243" s="374"/>
      <c r="H243" s="374"/>
      <c r="I243" s="374"/>
      <c r="J243" s="374"/>
      <c r="K243" s="374"/>
      <c r="L243" s="374"/>
      <c r="M243" s="374"/>
      <c r="N243" s="374"/>
      <c r="O243" s="374"/>
      <c r="P243" s="374"/>
      <c r="Q243" s="374"/>
    </row>
    <row r="244" spans="2:22" ht="42" customHeight="1" x14ac:dyDescent="0.25">
      <c r="B244" s="80" t="s">
        <v>4626</v>
      </c>
      <c r="C244" s="204" t="s">
        <v>4627</v>
      </c>
      <c r="D244" s="166" t="s">
        <v>4628</v>
      </c>
      <c r="E244" s="80">
        <v>0</v>
      </c>
      <c r="F244" s="80">
        <v>0</v>
      </c>
      <c r="G244" s="80" t="s">
        <v>3732</v>
      </c>
      <c r="H244" s="166" t="s">
        <v>4165</v>
      </c>
      <c r="I244" s="166" t="s">
        <v>4629</v>
      </c>
      <c r="J244" s="166" t="s">
        <v>4630</v>
      </c>
      <c r="K244" s="166" t="s">
        <v>3752</v>
      </c>
      <c r="L244" s="166" t="s">
        <v>3747</v>
      </c>
      <c r="M244" s="166" t="s">
        <v>4631</v>
      </c>
      <c r="N244" s="166" t="s">
        <v>3754</v>
      </c>
      <c r="O244" s="166" t="s">
        <v>3764</v>
      </c>
      <c r="P244" s="166" t="s">
        <v>3740</v>
      </c>
      <c r="Q244" s="226" t="s">
        <v>3741</v>
      </c>
      <c r="R244" s="227" t="s">
        <v>4095</v>
      </c>
      <c r="S244" s="227">
        <v>1.6</v>
      </c>
      <c r="T244" s="227">
        <v>140</v>
      </c>
      <c r="U244" s="227">
        <v>119</v>
      </c>
      <c r="V244" s="227">
        <v>1.4</v>
      </c>
    </row>
    <row r="245" spans="2:22" ht="42" customHeight="1" x14ac:dyDescent="0.25">
      <c r="B245" s="72" t="s">
        <v>4626</v>
      </c>
      <c r="C245" s="201" t="s">
        <v>1700</v>
      </c>
      <c r="D245" s="165" t="s">
        <v>4632</v>
      </c>
      <c r="E245" s="72">
        <v>0</v>
      </c>
      <c r="F245" s="72">
        <v>0</v>
      </c>
      <c r="G245" s="72" t="s">
        <v>4523</v>
      </c>
      <c r="H245" s="165" t="s">
        <v>4024</v>
      </c>
      <c r="I245" s="165" t="s">
        <v>4633</v>
      </c>
      <c r="J245" s="165" t="s">
        <v>4634</v>
      </c>
      <c r="K245" s="165" t="s">
        <v>3879</v>
      </c>
      <c r="L245" s="165" t="s">
        <v>3736</v>
      </c>
      <c r="M245" s="165" t="s">
        <v>3772</v>
      </c>
      <c r="N245" s="165" t="s">
        <v>3880</v>
      </c>
      <c r="O245" s="165" t="s">
        <v>3773</v>
      </c>
      <c r="P245" s="165" t="s">
        <v>3740</v>
      </c>
      <c r="Q245" s="165" t="s">
        <v>3755</v>
      </c>
      <c r="R245" s="227" t="s">
        <v>3742</v>
      </c>
      <c r="S245" s="227">
        <v>0</v>
      </c>
      <c r="T245" s="227">
        <v>187</v>
      </c>
      <c r="U245" s="227">
        <v>158.9</v>
      </c>
      <c r="V245" s="227">
        <v>0</v>
      </c>
    </row>
    <row r="246" spans="2:22" ht="42" customHeight="1" x14ac:dyDescent="0.25">
      <c r="B246" s="80" t="s">
        <v>4626</v>
      </c>
      <c r="C246" s="204" t="s">
        <v>4635</v>
      </c>
      <c r="D246" s="166" t="s">
        <v>4636</v>
      </c>
      <c r="E246" s="80">
        <v>0</v>
      </c>
      <c r="F246" s="80">
        <v>0</v>
      </c>
      <c r="G246" s="80" t="s">
        <v>3732</v>
      </c>
      <c r="H246" s="166" t="s">
        <v>3867</v>
      </c>
      <c r="I246" s="166" t="s">
        <v>4637</v>
      </c>
      <c r="J246" s="166" t="s">
        <v>4638</v>
      </c>
      <c r="K246" s="166" t="s">
        <v>3879</v>
      </c>
      <c r="L246" s="166" t="s">
        <v>3747</v>
      </c>
      <c r="M246" s="166" t="s">
        <v>3772</v>
      </c>
      <c r="N246" s="166" t="s">
        <v>3880</v>
      </c>
      <c r="O246" s="166" t="s">
        <v>3764</v>
      </c>
      <c r="P246" s="166" t="s">
        <v>3740</v>
      </c>
      <c r="Q246" s="226" t="s">
        <v>3890</v>
      </c>
      <c r="R246" s="227" t="s">
        <v>3742</v>
      </c>
      <c r="S246" s="227">
        <v>6.2</v>
      </c>
      <c r="T246" s="227">
        <v>185.5</v>
      </c>
      <c r="U246" s="227">
        <v>157.69999999999999</v>
      </c>
      <c r="V246" s="227">
        <v>5.3</v>
      </c>
    </row>
    <row r="247" spans="2:22" ht="42" customHeight="1" x14ac:dyDescent="0.25">
      <c r="B247" s="72" t="s">
        <v>4626</v>
      </c>
      <c r="C247" s="201" t="s">
        <v>4639</v>
      </c>
      <c r="D247" s="165" t="s">
        <v>4640</v>
      </c>
      <c r="E247" s="72">
        <v>0</v>
      </c>
      <c r="F247" s="72">
        <v>0</v>
      </c>
      <c r="G247" s="72" t="s">
        <v>3732</v>
      </c>
      <c r="H247" s="165" t="s">
        <v>3855</v>
      </c>
      <c r="I247" s="165" t="s">
        <v>4641</v>
      </c>
      <c r="J247" s="165" t="s">
        <v>4642</v>
      </c>
      <c r="K247" s="165" t="s">
        <v>3735</v>
      </c>
      <c r="L247" s="165" t="s">
        <v>3763</v>
      </c>
      <c r="M247" s="165" t="s">
        <v>3753</v>
      </c>
      <c r="N247" s="165" t="s">
        <v>3754</v>
      </c>
      <c r="O247" s="165" t="s">
        <v>3739</v>
      </c>
      <c r="P247" s="165" t="s">
        <v>3952</v>
      </c>
      <c r="Q247" s="165" t="s">
        <v>3755</v>
      </c>
      <c r="R247" s="227" t="s">
        <v>3742</v>
      </c>
      <c r="S247" s="227">
        <v>4.5999999999999996</v>
      </c>
      <c r="T247" s="227">
        <v>52.5</v>
      </c>
      <c r="U247" s="227">
        <v>44.6</v>
      </c>
      <c r="V247" s="227">
        <v>3.9</v>
      </c>
    </row>
    <row r="248" spans="2:22" ht="42" customHeight="1" x14ac:dyDescent="0.25">
      <c r="B248" s="80" t="s">
        <v>4626</v>
      </c>
      <c r="C248" s="204" t="s">
        <v>4643</v>
      </c>
      <c r="D248" s="166" t="s">
        <v>4644</v>
      </c>
      <c r="E248" s="80">
        <v>0</v>
      </c>
      <c r="F248" s="80">
        <v>0</v>
      </c>
      <c r="G248" s="80" t="s">
        <v>3732</v>
      </c>
      <c r="H248" s="166" t="s">
        <v>3949</v>
      </c>
      <c r="I248" s="166" t="s">
        <v>4645</v>
      </c>
      <c r="J248" s="166" t="s">
        <v>4646</v>
      </c>
      <c r="K248" s="166" t="s">
        <v>3735</v>
      </c>
      <c r="L248" s="166" t="s">
        <v>3747</v>
      </c>
      <c r="M248" s="166" t="s">
        <v>3780</v>
      </c>
      <c r="N248" s="166" t="s">
        <v>3790</v>
      </c>
      <c r="O248" s="166" t="s">
        <v>3773</v>
      </c>
      <c r="P248" s="166" t="s">
        <v>3740</v>
      </c>
      <c r="Q248" s="166" t="s">
        <v>3755</v>
      </c>
      <c r="R248" s="227" t="s">
        <v>4095</v>
      </c>
      <c r="S248" s="227">
        <v>22.5</v>
      </c>
      <c r="T248" s="227">
        <v>95</v>
      </c>
      <c r="U248" s="227">
        <v>80.8</v>
      </c>
      <c r="V248" s="227">
        <v>19.100000000000001</v>
      </c>
    </row>
    <row r="249" spans="2:22" ht="42" customHeight="1" x14ac:dyDescent="0.25">
      <c r="B249" s="72" t="s">
        <v>4626</v>
      </c>
      <c r="C249" s="201" t="s">
        <v>1718</v>
      </c>
      <c r="D249" s="165" t="s">
        <v>4647</v>
      </c>
      <c r="E249" s="72">
        <v>0</v>
      </c>
      <c r="F249" s="72">
        <v>0</v>
      </c>
      <c r="G249" s="72" t="s">
        <v>4648</v>
      </c>
      <c r="H249" s="165" t="s">
        <v>3800</v>
      </c>
      <c r="I249" s="165" t="s">
        <v>4649</v>
      </c>
      <c r="J249" s="165" t="s">
        <v>4650</v>
      </c>
      <c r="K249" s="165" t="s">
        <v>3752</v>
      </c>
      <c r="L249" s="165" t="s">
        <v>3747</v>
      </c>
      <c r="M249" s="165" t="s">
        <v>4651</v>
      </c>
      <c r="N249" s="165" t="s">
        <v>3754</v>
      </c>
      <c r="O249" s="165" t="s">
        <v>3764</v>
      </c>
      <c r="P249" s="165" t="s">
        <v>4652</v>
      </c>
      <c r="Q249" s="165" t="s">
        <v>3755</v>
      </c>
      <c r="R249" s="227" t="s">
        <v>3742</v>
      </c>
      <c r="S249" s="227">
        <v>0</v>
      </c>
      <c r="T249" s="227">
        <v>120</v>
      </c>
      <c r="U249" s="227">
        <v>102</v>
      </c>
      <c r="V249" s="227">
        <v>0</v>
      </c>
    </row>
    <row r="251" spans="2:22" ht="15" customHeight="1" x14ac:dyDescent="0.25">
      <c r="B251" s="9" t="s">
        <v>4653</v>
      </c>
      <c r="C251" s="9"/>
      <c r="D251" s="9"/>
      <c r="E251" s="9"/>
      <c r="F251" s="9"/>
      <c r="G251" s="9"/>
      <c r="H251" s="9"/>
      <c r="I251" s="9"/>
      <c r="J251" s="9"/>
      <c r="K251" s="9"/>
      <c r="L251" s="9"/>
      <c r="M251" s="9"/>
      <c r="N251" s="9"/>
      <c r="O251" s="9"/>
      <c r="P251" s="9"/>
      <c r="Q251" s="9"/>
    </row>
    <row r="252" spans="2:22" ht="42" customHeight="1" x14ac:dyDescent="0.25">
      <c r="B252" s="11" t="s">
        <v>4654</v>
      </c>
      <c r="C252" s="11"/>
      <c r="D252" s="11"/>
      <c r="E252" s="361" t="s">
        <v>4655</v>
      </c>
      <c r="F252" s="361"/>
      <c r="G252" s="361"/>
      <c r="H252" s="361"/>
      <c r="I252" s="361"/>
      <c r="J252" s="361"/>
      <c r="K252" s="361"/>
      <c r="L252" s="361"/>
      <c r="M252" s="361"/>
      <c r="N252" s="361"/>
      <c r="O252" s="361"/>
      <c r="P252" s="361"/>
      <c r="Q252" s="361"/>
    </row>
    <row r="253" spans="2:22" ht="42" customHeight="1" x14ac:dyDescent="0.25">
      <c r="B253" s="11" t="s">
        <v>4656</v>
      </c>
      <c r="C253" s="11"/>
      <c r="D253" s="11"/>
      <c r="E253" s="361" t="s">
        <v>4657</v>
      </c>
      <c r="F253" s="361"/>
      <c r="G253" s="361"/>
      <c r="H253" s="361"/>
      <c r="I253" s="361"/>
      <c r="J253" s="361"/>
      <c r="K253" s="361"/>
      <c r="L253" s="361"/>
      <c r="M253" s="361"/>
      <c r="N253" s="361"/>
      <c r="O253" s="361"/>
      <c r="P253" s="361"/>
      <c r="Q253" s="361"/>
    </row>
    <row r="254" spans="2:22" ht="42" customHeight="1" x14ac:dyDescent="0.25">
      <c r="B254" s="11" t="s">
        <v>4658</v>
      </c>
      <c r="C254" s="11"/>
      <c r="D254" s="11"/>
      <c r="E254" s="361" t="s">
        <v>4659</v>
      </c>
      <c r="F254" s="361"/>
      <c r="G254" s="361"/>
      <c r="H254" s="361"/>
      <c r="I254" s="361"/>
      <c r="J254" s="361"/>
      <c r="K254" s="361"/>
      <c r="L254" s="361"/>
      <c r="M254" s="361"/>
      <c r="N254" s="361"/>
      <c r="O254" s="361"/>
      <c r="P254" s="361"/>
      <c r="Q254" s="361"/>
    </row>
    <row r="255" spans="2:22" ht="42" customHeight="1" x14ac:dyDescent="0.25">
      <c r="B255" s="11" t="s">
        <v>4660</v>
      </c>
      <c r="C255" s="11"/>
      <c r="D255" s="11"/>
      <c r="E255" s="361" t="s">
        <v>4661</v>
      </c>
      <c r="F255" s="361"/>
      <c r="G255" s="361"/>
      <c r="H255" s="361"/>
      <c r="I255" s="361"/>
      <c r="J255" s="361"/>
      <c r="K255" s="361"/>
      <c r="L255" s="361"/>
      <c r="M255" s="361"/>
      <c r="N255" s="361"/>
      <c r="O255" s="361"/>
      <c r="P255" s="361"/>
      <c r="Q255" s="361"/>
    </row>
    <row r="256" spans="2:22" ht="42" customHeight="1" x14ac:dyDescent="0.25">
      <c r="B256" s="11" t="s">
        <v>4662</v>
      </c>
      <c r="C256" s="11"/>
      <c r="D256" s="11"/>
      <c r="E256" s="361" t="s">
        <v>4663</v>
      </c>
      <c r="F256" s="361"/>
      <c r="G256" s="361"/>
      <c r="H256" s="361"/>
      <c r="I256" s="361"/>
      <c r="J256" s="361"/>
      <c r="K256" s="361"/>
      <c r="L256" s="361"/>
      <c r="M256" s="361"/>
      <c r="N256" s="361"/>
      <c r="O256" s="361"/>
      <c r="P256" s="361"/>
      <c r="Q256" s="361"/>
    </row>
    <row r="257" spans="2:17" ht="42" customHeight="1" x14ac:dyDescent="0.25">
      <c r="B257" s="11" t="s">
        <v>4664</v>
      </c>
      <c r="C257" s="11"/>
      <c r="D257" s="11"/>
      <c r="E257" s="361" t="s">
        <v>4665</v>
      </c>
      <c r="F257" s="361"/>
      <c r="G257" s="361"/>
      <c r="H257" s="361"/>
      <c r="I257" s="361"/>
      <c r="J257" s="361"/>
      <c r="K257" s="361"/>
      <c r="L257" s="361"/>
      <c r="M257" s="361"/>
      <c r="N257" s="361"/>
      <c r="O257" s="361"/>
      <c r="P257" s="361"/>
      <c r="Q257" s="361"/>
    </row>
    <row r="258" spans="2:17" ht="42" customHeight="1" x14ac:dyDescent="0.25">
      <c r="B258" s="11" t="s">
        <v>4666</v>
      </c>
      <c r="C258" s="11"/>
      <c r="D258" s="11"/>
      <c r="E258" s="361" t="s">
        <v>4667</v>
      </c>
      <c r="F258" s="361"/>
      <c r="G258" s="361"/>
      <c r="H258" s="361"/>
      <c r="I258" s="361"/>
      <c r="J258" s="361"/>
      <c r="K258" s="361"/>
      <c r="L258" s="361"/>
      <c r="M258" s="361"/>
      <c r="N258" s="361"/>
      <c r="O258" s="361"/>
      <c r="P258" s="361"/>
      <c r="Q258" s="361"/>
    </row>
    <row r="259" spans="2:17" ht="42" customHeight="1" x14ac:dyDescent="0.25">
      <c r="B259" s="11" t="s">
        <v>4668</v>
      </c>
      <c r="C259" s="11"/>
      <c r="D259" s="11"/>
      <c r="E259" s="361" t="s">
        <v>4669</v>
      </c>
      <c r="F259" s="361"/>
      <c r="G259" s="361"/>
      <c r="H259" s="361"/>
      <c r="I259" s="361"/>
      <c r="J259" s="361"/>
      <c r="K259" s="361"/>
      <c r="L259" s="361"/>
      <c r="M259" s="361"/>
      <c r="N259" s="361"/>
      <c r="O259" s="361"/>
      <c r="P259" s="361"/>
      <c r="Q259" s="361"/>
    </row>
    <row r="260" spans="2:17" ht="42" customHeight="1" x14ac:dyDescent="0.25">
      <c r="B260" s="11" t="s">
        <v>4670</v>
      </c>
      <c r="C260" s="11"/>
      <c r="D260" s="11"/>
      <c r="E260" s="361" t="s">
        <v>4671</v>
      </c>
      <c r="F260" s="361"/>
      <c r="G260" s="361"/>
      <c r="H260" s="361"/>
      <c r="I260" s="361"/>
      <c r="J260" s="361"/>
      <c r="K260" s="361"/>
      <c r="L260" s="361"/>
      <c r="M260" s="361"/>
      <c r="N260" s="361"/>
      <c r="O260" s="361"/>
      <c r="P260" s="361"/>
      <c r="Q260" s="361"/>
    </row>
    <row r="261" spans="2:17" ht="42" customHeight="1" x14ac:dyDescent="0.25">
      <c r="B261" s="11" t="s">
        <v>4672</v>
      </c>
      <c r="C261" s="11"/>
      <c r="D261" s="11"/>
      <c r="E261" s="361" t="s">
        <v>4673</v>
      </c>
      <c r="F261" s="361"/>
      <c r="G261" s="361"/>
      <c r="H261" s="361"/>
      <c r="I261" s="361"/>
      <c r="J261" s="361"/>
      <c r="K261" s="361"/>
      <c r="L261" s="361"/>
      <c r="M261" s="361"/>
      <c r="N261" s="361"/>
      <c r="O261" s="361"/>
      <c r="P261" s="361"/>
      <c r="Q261" s="361"/>
    </row>
  </sheetData>
  <sheetProtection password="EBB1" sheet="1" formatColumns="0" formatRows="0" sort="0" autoFilter="0"/>
  <mergeCells count="37">
    <mergeCell ref="B260:D260"/>
    <mergeCell ref="E260:Q260"/>
    <mergeCell ref="B261:D261"/>
    <mergeCell ref="E261:Q261"/>
    <mergeCell ref="B257:D257"/>
    <mergeCell ref="E257:Q257"/>
    <mergeCell ref="B258:D258"/>
    <mergeCell ref="E258:Q258"/>
    <mergeCell ref="B259:D259"/>
    <mergeCell ref="E259:Q259"/>
    <mergeCell ref="B254:D254"/>
    <mergeCell ref="E254:Q254"/>
    <mergeCell ref="B255:D255"/>
    <mergeCell ref="E255:Q255"/>
    <mergeCell ref="B256:D256"/>
    <mergeCell ref="E256:Q256"/>
    <mergeCell ref="B243:Q243"/>
    <mergeCell ref="B251:Q251"/>
    <mergeCell ref="B252:D252"/>
    <mergeCell ref="E252:Q252"/>
    <mergeCell ref="B253:D253"/>
    <mergeCell ref="E253:Q253"/>
    <mergeCell ref="B170:Q170"/>
    <mergeCell ref="B182:Q182"/>
    <mergeCell ref="B203:Q203"/>
    <mergeCell ref="B214:Q214"/>
    <mergeCell ref="B227:Q227"/>
    <mergeCell ref="B80:Q80"/>
    <mergeCell ref="B90:Q90"/>
    <mergeCell ref="B107:Q107"/>
    <mergeCell ref="B150:Q150"/>
    <mergeCell ref="B161:Q161"/>
    <mergeCell ref="B1:P1"/>
    <mergeCell ref="B3:Q3"/>
    <mergeCell ref="B15:Q15"/>
    <mergeCell ref="B36:Q36"/>
    <mergeCell ref="B66:Q66"/>
  </mergeCells>
  <pageMargins left="0.75" right="0.75" top="1" bottom="1" header="0.511811023622047" footer="0.511811023622047"/>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1"/>
  <sheetViews>
    <sheetView zoomScaleNormal="100" workbookViewId="0"/>
  </sheetViews>
  <sheetFormatPr defaultColWidth="8.7109375" defaultRowHeight="15" x14ac:dyDescent="0.25"/>
  <cols>
    <col min="1" max="1" width="20" style="15" customWidth="1"/>
    <col min="2" max="2" width="14" style="15" customWidth="1"/>
    <col min="3" max="8" width="15" style="15" customWidth="1"/>
    <col min="12" max="19" width="9" style="15" customWidth="1"/>
  </cols>
  <sheetData>
    <row r="1" spans="1:19" ht="15.75" customHeight="1" x14ac:dyDescent="0.25">
      <c r="A1" s="3" t="s">
        <v>4674</v>
      </c>
      <c r="B1" s="3"/>
      <c r="C1" s="3"/>
      <c r="D1" s="3"/>
      <c r="E1" s="3"/>
      <c r="F1" s="3"/>
      <c r="G1" s="3"/>
      <c r="H1" s="3"/>
    </row>
    <row r="2" spans="1:19" ht="33.75" customHeight="1" x14ac:dyDescent="0.25">
      <c r="A2" s="13" t="s">
        <v>4675</v>
      </c>
      <c r="B2" s="13"/>
      <c r="C2" s="13"/>
      <c r="D2" s="13"/>
      <c r="E2" s="13"/>
      <c r="F2" s="13"/>
      <c r="G2" s="13"/>
      <c r="H2" s="13"/>
    </row>
    <row r="4" spans="1:19" ht="17.25" customHeight="1" x14ac:dyDescent="0.25">
      <c r="A4" s="228" t="s">
        <v>4676</v>
      </c>
      <c r="B4" s="229" t="s">
        <v>1647</v>
      </c>
      <c r="C4" s="384" t="s">
        <v>4677</v>
      </c>
      <c r="D4" s="384"/>
      <c r="E4" s="384"/>
      <c r="F4" s="384"/>
      <c r="G4" s="384"/>
      <c r="H4" s="384"/>
      <c r="L4" s="385" t="s">
        <v>4678</v>
      </c>
      <c r="M4" s="385"/>
      <c r="N4" s="385"/>
      <c r="O4" s="385"/>
      <c r="P4" s="385"/>
      <c r="Q4" s="385"/>
      <c r="R4" s="385"/>
      <c r="S4" s="385"/>
    </row>
    <row r="5" spans="1:19" ht="15" customHeight="1" x14ac:dyDescent="0.25">
      <c r="L5" s="230" t="s">
        <v>4679</v>
      </c>
      <c r="M5" s="230" t="s">
        <v>4680</v>
      </c>
      <c r="N5" s="230" t="s">
        <v>4681</v>
      </c>
      <c r="O5" s="230" t="s">
        <v>4682</v>
      </c>
      <c r="P5" s="230" t="s">
        <v>4683</v>
      </c>
      <c r="Q5" s="230" t="s">
        <v>4684</v>
      </c>
      <c r="R5" s="230" t="s">
        <v>4685</v>
      </c>
      <c r="S5" s="230" t="s">
        <v>4686</v>
      </c>
    </row>
    <row r="6" spans="1:19" ht="30" customHeight="1" x14ac:dyDescent="0.25">
      <c r="A6" s="100" t="s">
        <v>4687</v>
      </c>
      <c r="B6" s="386" t="str">
        <f>IFERROR(INDEX('Довідник_зон_S-matrix'!$B$3:$B$249,MATCH($B$4,'Довідник_зон_S-matrix'!$C$3:$C$249,0)),"—")</f>
        <v>GB</v>
      </c>
      <c r="C6" s="386"/>
      <c r="D6" s="386"/>
      <c r="E6" s="386"/>
      <c r="F6" s="386"/>
      <c r="G6" s="386"/>
      <c r="H6" s="386"/>
      <c r="L6" s="203">
        <v>25</v>
      </c>
      <c r="M6" s="203">
        <v>200</v>
      </c>
      <c r="N6" s="203">
        <v>75</v>
      </c>
      <c r="O6" s="203">
        <v>200</v>
      </c>
      <c r="P6" s="231">
        <f>IFERROR(IF(INDEX('Довідник_зон_S-matrix'!$R$3:$R$249,MATCH($B$4,'Довідник_зон_S-matrix'!$C$3:$C$249,0))="Задня",75,25)+INDEX('Довідник_зон_S-matrix'!$S$3:$S$249,MATCH($B$4,'Довідник_зон_S-matrix'!$C$3:$C$249,0)),NA())</f>
        <v>32.5</v>
      </c>
      <c r="Q6" s="231">
        <f>IFERROR(INDEX('Довідник_зон_S-matrix'!$T$3:$T$249,MATCH($B$4,'Довідник_зон_S-matrix'!$C$3:$C$249,0)),NA())</f>
        <v>167</v>
      </c>
      <c r="R6" s="231">
        <f>IFERROR($P$6+4.7059,NA())</f>
        <v>37.2059</v>
      </c>
      <c r="S6" s="231">
        <f>IFERROR($Q$6+0,NA())</f>
        <v>167</v>
      </c>
    </row>
    <row r="7" spans="1:19" ht="30" customHeight="1" x14ac:dyDescent="0.25">
      <c r="A7" s="100" t="s">
        <v>4688</v>
      </c>
      <c r="B7" s="386" t="str">
        <f>IFERROR(INDEX('Довідник_зон_S-matrix'!$D$3:$D$249,MATCH($B$4,'Довідник_зон_S-matrix'!$C$3:$C$249,0)),"—")</f>
        <v>верх трапеції, середина лінії GV14–акроміон</v>
      </c>
      <c r="C7" s="386"/>
      <c r="D7" s="386"/>
      <c r="E7" s="386"/>
      <c r="F7" s="386"/>
      <c r="G7" s="386"/>
      <c r="H7" s="386"/>
      <c r="L7" s="203">
        <v>21.5</v>
      </c>
      <c r="M7" s="203">
        <v>199</v>
      </c>
      <c r="N7" s="203">
        <v>71.5</v>
      </c>
      <c r="O7" s="203">
        <v>199</v>
      </c>
      <c r="R7" s="231">
        <f>IFERROR($P$6+4.5455,NA())</f>
        <v>37.045499999999997</v>
      </c>
      <c r="S7" s="231">
        <f>IFERROR($Q$6+1.218,NA())</f>
        <v>168.21799999999999</v>
      </c>
    </row>
    <row r="8" spans="1:19" ht="30" customHeight="1" x14ac:dyDescent="0.25">
      <c r="A8" s="100" t="s">
        <v>3724</v>
      </c>
      <c r="B8" s="386" t="str">
        <f>IFERROR(INDEX('Довідник_зон_S-matrix'!$R$3:$R$249,MATCH($B$4,'Довідник_зон_S-matrix'!$C$3:$C$249,0)),"—")</f>
        <v>Бічна</v>
      </c>
      <c r="C8" s="386"/>
      <c r="D8" s="386"/>
      <c r="E8" s="386"/>
      <c r="F8" s="386"/>
      <c r="G8" s="386"/>
      <c r="H8" s="386"/>
      <c r="L8" s="203">
        <v>19</v>
      </c>
      <c r="M8" s="203">
        <v>195</v>
      </c>
      <c r="N8" s="203">
        <v>69</v>
      </c>
      <c r="O8" s="203">
        <v>195</v>
      </c>
      <c r="R8" s="231">
        <f>IFERROR($P$6+4.0754,NA())</f>
        <v>36.575400000000002</v>
      </c>
      <c r="S8" s="231">
        <f>IFERROR($Q$6+2.3529,NA())</f>
        <v>169.35290000000001</v>
      </c>
    </row>
    <row r="9" spans="1:19" ht="30" customHeight="1" x14ac:dyDescent="0.25">
      <c r="A9" s="100" t="s">
        <v>4689</v>
      </c>
      <c r="B9" s="386" t="str">
        <f>IFERROR(INDEX('Довідник_зон_S-matrix'!$U$3:$U$249,MATCH($B$4,'Довідник_зон_S-matrix'!$C$3:$C$249,0))&amp;" см","—")</f>
        <v>141,9 см</v>
      </c>
      <c r="C9" s="386"/>
      <c r="D9" s="386"/>
      <c r="E9" s="386"/>
      <c r="F9" s="386"/>
      <c r="G9" s="386"/>
      <c r="H9" s="386"/>
      <c r="L9" s="203">
        <v>18</v>
      </c>
      <c r="M9" s="203">
        <v>189</v>
      </c>
      <c r="N9" s="203">
        <v>68</v>
      </c>
      <c r="O9" s="203">
        <v>189</v>
      </c>
      <c r="R9" s="231">
        <f>IFERROR($P$6+3.3276,NA())</f>
        <v>35.827599999999997</v>
      </c>
      <c r="S9" s="231">
        <f>IFERROR($Q$6+3.3276,NA())</f>
        <v>170.32759999999999</v>
      </c>
    </row>
    <row r="10" spans="1:19" ht="30" customHeight="1" x14ac:dyDescent="0.25">
      <c r="A10" s="100" t="s">
        <v>4690</v>
      </c>
      <c r="B10" s="386" t="str">
        <f>IFERROR(INDEX('Довідник_зон_S-matrix'!$V$3:$V$249,MATCH($B$4,'Довідник_зон_S-matrix'!$C$3:$C$249,0))&amp;" см (вбік)","—")</f>
        <v>6,4 см (вбік)</v>
      </c>
      <c r="C10" s="386"/>
      <c r="D10" s="386"/>
      <c r="E10" s="386"/>
      <c r="F10" s="386"/>
      <c r="G10" s="386"/>
      <c r="H10" s="386"/>
      <c r="L10" s="203">
        <v>18.5</v>
      </c>
      <c r="M10" s="203">
        <v>183</v>
      </c>
      <c r="N10" s="203">
        <v>68.5</v>
      </c>
      <c r="O10" s="203">
        <v>183</v>
      </c>
      <c r="R10" s="231">
        <f>IFERROR($P$6+2.3529,NA())</f>
        <v>34.852899999999998</v>
      </c>
      <c r="S10" s="231">
        <f>IFERROR($Q$6+4.0754,NA())</f>
        <v>171.0754</v>
      </c>
    </row>
    <row r="11" spans="1:19" ht="30" customHeight="1" x14ac:dyDescent="0.25">
      <c r="A11" s="100" t="s">
        <v>4691</v>
      </c>
      <c r="B11" s="386" t="str">
        <f>IFERROR(INDEX('Довідник_зон_S-matrix'!$I$3:$I$249,MATCH($B$4,'Довідник_зон_S-matrix'!$C$3:$C$249,0)),"—")</f>
        <v>Розсіює застій у трапеції/плечі, опускає Ці</v>
      </c>
      <c r="C11" s="386"/>
      <c r="D11" s="386"/>
      <c r="E11" s="386"/>
      <c r="F11" s="386"/>
      <c r="G11" s="386"/>
      <c r="H11" s="386"/>
      <c r="L11" s="203">
        <v>20</v>
      </c>
      <c r="M11" s="203">
        <v>179</v>
      </c>
      <c r="N11" s="203">
        <v>70</v>
      </c>
      <c r="O11" s="203">
        <v>179</v>
      </c>
      <c r="R11" s="231">
        <f>IFERROR($P$6+1.218,NA())</f>
        <v>33.718000000000004</v>
      </c>
      <c r="S11" s="231">
        <f>IFERROR($Q$6+4.5455,NA())</f>
        <v>171.5455</v>
      </c>
    </row>
    <row r="12" spans="1:19" ht="30" customHeight="1" x14ac:dyDescent="0.25">
      <c r="A12" s="100" t="s">
        <v>4692</v>
      </c>
      <c r="B12" s="386" t="str">
        <f>IFERROR(INDEX('Довідник_зон_S-matrix'!$K$3:$K$249,MATCH($B$4,'Довідник_зон_S-matrix'!$C$3:$C$249,0)),"—")</f>
        <v>Так — глибокий пальцевий тиск по м’язу, 1–2 хв</v>
      </c>
      <c r="C12" s="386"/>
      <c r="D12" s="386"/>
      <c r="E12" s="386"/>
      <c r="F12" s="386"/>
      <c r="G12" s="386"/>
      <c r="H12" s="386"/>
      <c r="L12" s="203">
        <v>21</v>
      </c>
      <c r="M12" s="203">
        <v>176</v>
      </c>
      <c r="N12" s="203">
        <v>71</v>
      </c>
      <c r="O12" s="203">
        <v>176</v>
      </c>
      <c r="R12" s="231">
        <f>IFERROR($P$6+0,NA())</f>
        <v>32.5</v>
      </c>
      <c r="S12" s="231">
        <f>IFERROR($Q$6+4.7059,NA())</f>
        <v>171.70589999999999</v>
      </c>
    </row>
    <row r="13" spans="1:19" ht="30" customHeight="1" x14ac:dyDescent="0.25">
      <c r="A13" s="100" t="s">
        <v>4693</v>
      </c>
      <c r="B13" s="386" t="str">
        <f>IFERROR(INDEX('Довідник_зон_S-matrix'!$M$3:$M$249,MATCH($B$4,'Довідник_зон_S-matrix'!$C$3:$C$249,0)),"—")</f>
        <v>⚠ ЛИШЕ косо/тангенційно 0,5–0,8 цуня — ризик пневмотораксу</v>
      </c>
      <c r="C13" s="386"/>
      <c r="D13" s="386"/>
      <c r="E13" s="386"/>
      <c r="F13" s="386"/>
      <c r="G13" s="386"/>
      <c r="H13" s="386"/>
      <c r="L13" s="203">
        <v>21.5</v>
      </c>
      <c r="M13" s="203">
        <v>173</v>
      </c>
      <c r="N13" s="203">
        <v>71.5</v>
      </c>
      <c r="O13" s="203">
        <v>173</v>
      </c>
      <c r="R13" s="231">
        <f>IFERROR($P$6+-1.218,NA())</f>
        <v>31.282</v>
      </c>
      <c r="S13" s="231">
        <f>IFERROR($Q$6+4.5455,NA())</f>
        <v>171.5455</v>
      </c>
    </row>
    <row r="14" spans="1:19" ht="30" customHeight="1" x14ac:dyDescent="0.25">
      <c r="A14" s="100" t="s">
        <v>4694</v>
      </c>
      <c r="B14" s="386" t="str">
        <f>IFERROR(INDEX('Довідник_зон_S-matrix'!$N$3:$N$249,MATCH($B$4,'Довідник_зон_S-matrix'!$C$3:$C$249,0)),"—")</f>
        <v>Так — непряма мокса/прогрів 10–15 хв</v>
      </c>
      <c r="C14" s="386"/>
      <c r="D14" s="386"/>
      <c r="E14" s="386"/>
      <c r="F14" s="386"/>
      <c r="G14" s="386"/>
      <c r="H14" s="386"/>
      <c r="L14" s="203">
        <v>20.5</v>
      </c>
      <c r="M14" s="203">
        <v>170</v>
      </c>
      <c r="N14" s="203">
        <v>70.5</v>
      </c>
      <c r="O14" s="203">
        <v>170</v>
      </c>
      <c r="R14" s="231">
        <f>IFERROR($P$6+-2.3529,NA())</f>
        <v>30.147100000000002</v>
      </c>
      <c r="S14" s="231">
        <f>IFERROR($Q$6+4.0754,NA())</f>
        <v>171.0754</v>
      </c>
    </row>
    <row r="15" spans="1:19" ht="30" customHeight="1" x14ac:dyDescent="0.25">
      <c r="A15" s="226" t="s">
        <v>4695</v>
      </c>
      <c r="B15" s="387" t="str">
        <f>IFERROR(INDEX('Довідник_зон_S-matrix'!$Q$3:$Q$249,MATCH($B$4,'Довідник_зон_S-matrix'!$C$3:$C$249,0)),"—")</f>
        <v>⚠⚠ ПРОТИПОКАЗАНА ПРИ ВАГІТНОСТІ</v>
      </c>
      <c r="C15" s="387"/>
      <c r="D15" s="387"/>
      <c r="E15" s="387"/>
      <c r="F15" s="387"/>
      <c r="G15" s="387"/>
      <c r="H15" s="387"/>
      <c r="L15" s="203">
        <v>16</v>
      </c>
      <c r="M15" s="203">
        <v>168</v>
      </c>
      <c r="N15" s="203">
        <v>66</v>
      </c>
      <c r="O15" s="203">
        <v>168</v>
      </c>
      <c r="R15" s="231">
        <f>IFERROR($P$6+-3.3276,NA())</f>
        <v>29.1724</v>
      </c>
      <c r="S15" s="231">
        <f>IFERROR($Q$6+3.3276,NA())</f>
        <v>170.32759999999999</v>
      </c>
    </row>
    <row r="16" spans="1:19" ht="15" customHeight="1" x14ac:dyDescent="0.25">
      <c r="L16" s="203">
        <v>11</v>
      </c>
      <c r="M16" s="203">
        <v>166</v>
      </c>
      <c r="N16" s="203">
        <v>61</v>
      </c>
      <c r="O16" s="203">
        <v>166</v>
      </c>
      <c r="R16" s="231">
        <f>IFERROR($P$6+-4.0754,NA())</f>
        <v>28.424599999999998</v>
      </c>
      <c r="S16" s="231">
        <f>IFERROR($Q$6+2.3529,NA())</f>
        <v>169.35290000000001</v>
      </c>
    </row>
    <row r="17" spans="12:19" ht="15" customHeight="1" x14ac:dyDescent="0.25">
      <c r="L17" s="203">
        <v>9</v>
      </c>
      <c r="M17" s="203">
        <v>163</v>
      </c>
      <c r="N17" s="203">
        <v>59</v>
      </c>
      <c r="O17" s="203">
        <v>163</v>
      </c>
      <c r="R17" s="231">
        <f>IFERROR($P$6+-4.5455,NA())</f>
        <v>27.954499999999999</v>
      </c>
      <c r="S17" s="231">
        <f>IFERROR($Q$6+1.218,NA())</f>
        <v>168.21799999999999</v>
      </c>
    </row>
    <row r="18" spans="12:19" ht="15" customHeight="1" x14ac:dyDescent="0.25">
      <c r="L18" s="203">
        <v>7.5</v>
      </c>
      <c r="M18" s="203">
        <v>158</v>
      </c>
      <c r="N18" s="203">
        <v>57.5</v>
      </c>
      <c r="O18" s="203">
        <v>158</v>
      </c>
      <c r="R18" s="231">
        <f>IFERROR($P$6+-4.7059,NA())</f>
        <v>27.7941</v>
      </c>
      <c r="S18" s="231">
        <f>IFERROR($Q$6+0,NA())</f>
        <v>167</v>
      </c>
    </row>
    <row r="19" spans="12:19" ht="15" customHeight="1" x14ac:dyDescent="0.25">
      <c r="L19" s="203">
        <v>6.5</v>
      </c>
      <c r="M19" s="203">
        <v>150</v>
      </c>
      <c r="N19" s="203">
        <v>56.5</v>
      </c>
      <c r="O19" s="203">
        <v>150</v>
      </c>
      <c r="R19" s="231">
        <f>IFERROR($P$6+-4.5455,NA())</f>
        <v>27.954499999999999</v>
      </c>
      <c r="S19" s="231">
        <f>IFERROR($Q$6+-1.218,NA())</f>
        <v>165.78200000000001</v>
      </c>
    </row>
    <row r="20" spans="12:19" ht="15" customHeight="1" x14ac:dyDescent="0.25">
      <c r="L20" s="203">
        <v>5.5</v>
      </c>
      <c r="M20" s="203">
        <v>140</v>
      </c>
      <c r="N20" s="203">
        <v>55.5</v>
      </c>
      <c r="O20" s="203">
        <v>140</v>
      </c>
      <c r="R20" s="231">
        <f>IFERROR($P$6+-4.0754,NA())</f>
        <v>28.424599999999998</v>
      </c>
      <c r="S20" s="231">
        <f>IFERROR($Q$6+-2.3529,NA())</f>
        <v>164.64709999999999</v>
      </c>
    </row>
    <row r="21" spans="12:19" ht="15" customHeight="1" x14ac:dyDescent="0.25">
      <c r="L21" s="203">
        <v>4.5</v>
      </c>
      <c r="M21" s="203">
        <v>130</v>
      </c>
      <c r="N21" s="203">
        <v>54.5</v>
      </c>
      <c r="O21" s="203">
        <v>130</v>
      </c>
      <c r="R21" s="231">
        <f>IFERROR($P$6+-3.3276,NA())</f>
        <v>29.1724</v>
      </c>
      <c r="S21" s="231">
        <f>IFERROR($Q$6+-3.3276,NA())</f>
        <v>163.67240000000001</v>
      </c>
    </row>
    <row r="22" spans="12:19" ht="15" customHeight="1" x14ac:dyDescent="0.25">
      <c r="L22" s="203">
        <v>3.5</v>
      </c>
      <c r="M22" s="203">
        <v>120</v>
      </c>
      <c r="N22" s="203">
        <v>53.5</v>
      </c>
      <c r="O22" s="203">
        <v>120</v>
      </c>
      <c r="R22" s="231">
        <f>IFERROR($P$6+-2.3529,NA())</f>
        <v>30.147100000000002</v>
      </c>
      <c r="S22" s="231">
        <f>IFERROR($Q$6+-4.0754,NA())</f>
        <v>162.9246</v>
      </c>
    </row>
    <row r="23" spans="12:19" ht="15" customHeight="1" x14ac:dyDescent="0.25">
      <c r="L23" s="203">
        <v>2.5</v>
      </c>
      <c r="M23" s="203">
        <v>110</v>
      </c>
      <c r="N23" s="203">
        <v>52.5</v>
      </c>
      <c r="O23" s="203">
        <v>110</v>
      </c>
      <c r="R23" s="231">
        <f>IFERROR($P$6+-1.218,NA())</f>
        <v>31.282</v>
      </c>
      <c r="S23" s="231">
        <f>IFERROR($Q$6+-4.5455,NA())</f>
        <v>162.4545</v>
      </c>
    </row>
    <row r="24" spans="12:19" ht="15" customHeight="1" x14ac:dyDescent="0.25">
      <c r="L24" s="203">
        <v>1.5</v>
      </c>
      <c r="M24" s="203">
        <v>100</v>
      </c>
      <c r="N24" s="203">
        <v>51.5</v>
      </c>
      <c r="O24" s="203">
        <v>100</v>
      </c>
      <c r="R24" s="231">
        <f>IFERROR($P$6+0,NA())</f>
        <v>32.5</v>
      </c>
      <c r="S24" s="231">
        <f>IFERROR($Q$6+-4.7059,NA())</f>
        <v>162.29410000000001</v>
      </c>
    </row>
    <row r="25" spans="12:19" ht="15" customHeight="1" x14ac:dyDescent="0.25">
      <c r="L25" s="203">
        <v>0</v>
      </c>
      <c r="M25" s="203">
        <v>94</v>
      </c>
      <c r="N25" s="203">
        <v>50</v>
      </c>
      <c r="O25" s="203">
        <v>94</v>
      </c>
      <c r="R25" s="231">
        <f>IFERROR($P$6+1.218,NA())</f>
        <v>33.718000000000004</v>
      </c>
      <c r="S25" s="231">
        <f>IFERROR($Q$6+-4.5455,NA())</f>
        <v>162.4545</v>
      </c>
    </row>
    <row r="26" spans="12:19" ht="15" customHeight="1" x14ac:dyDescent="0.25">
      <c r="L26" s="203">
        <v>-0.5</v>
      </c>
      <c r="M26" s="203">
        <v>88</v>
      </c>
      <c r="N26" s="203">
        <v>49.5</v>
      </c>
      <c r="O26" s="203">
        <v>88</v>
      </c>
      <c r="R26" s="231">
        <f>IFERROR($P$6+2.3529,NA())</f>
        <v>34.852899999999998</v>
      </c>
      <c r="S26" s="231">
        <f>IFERROR($Q$6+-4.0754,NA())</f>
        <v>162.9246</v>
      </c>
    </row>
    <row r="27" spans="12:19" ht="15" customHeight="1" x14ac:dyDescent="0.25">
      <c r="L27" s="203">
        <v>1</v>
      </c>
      <c r="M27" s="203">
        <v>85</v>
      </c>
      <c r="N27" s="203">
        <v>51</v>
      </c>
      <c r="O27" s="203">
        <v>85</v>
      </c>
      <c r="R27" s="231">
        <f>IFERROR($P$6+3.3276,NA())</f>
        <v>35.827599999999997</v>
      </c>
      <c r="S27" s="231">
        <f>IFERROR($Q$6+-3.3276,NA())</f>
        <v>163.67240000000001</v>
      </c>
    </row>
    <row r="28" spans="12:19" ht="15" customHeight="1" x14ac:dyDescent="0.25">
      <c r="L28" s="203">
        <v>3</v>
      </c>
      <c r="M28" s="203">
        <v>87</v>
      </c>
      <c r="N28" s="203">
        <v>53</v>
      </c>
      <c r="O28" s="203">
        <v>87</v>
      </c>
      <c r="R28" s="231">
        <f>IFERROR($P$6+4.0754,NA())</f>
        <v>36.575400000000002</v>
      </c>
      <c r="S28" s="231">
        <f>IFERROR($Q$6+-2.3529,NA())</f>
        <v>164.64709999999999</v>
      </c>
    </row>
    <row r="29" spans="12:19" ht="15" customHeight="1" x14ac:dyDescent="0.25">
      <c r="L29" s="203">
        <v>4.5</v>
      </c>
      <c r="M29" s="203">
        <v>92</v>
      </c>
      <c r="N29" s="203">
        <v>54.5</v>
      </c>
      <c r="O29" s="203">
        <v>92</v>
      </c>
      <c r="R29" s="231">
        <f>IFERROR($P$6+4.5455,NA())</f>
        <v>37.045499999999997</v>
      </c>
      <c r="S29" s="231">
        <f>IFERROR($Q$6+-1.218,NA())</f>
        <v>165.78200000000001</v>
      </c>
    </row>
    <row r="30" spans="12:19" ht="15" customHeight="1" x14ac:dyDescent="0.25">
      <c r="L30" s="203">
        <v>6</v>
      </c>
      <c r="M30" s="203">
        <v>100</v>
      </c>
      <c r="N30" s="203">
        <v>56</v>
      </c>
      <c r="O30" s="203">
        <v>100</v>
      </c>
      <c r="R30" s="231">
        <f>IFERROR($P$6+4.7059,NA())</f>
        <v>37.2059</v>
      </c>
      <c r="S30" s="231">
        <f>IFERROR($Q$6+0,NA())</f>
        <v>167</v>
      </c>
    </row>
    <row r="31" spans="12:19" ht="15" customHeight="1" x14ac:dyDescent="0.25">
      <c r="L31" s="203">
        <v>7.5</v>
      </c>
      <c r="M31" s="203">
        <v>110</v>
      </c>
      <c r="N31" s="203">
        <v>57.5</v>
      </c>
      <c r="O31" s="203">
        <v>110</v>
      </c>
    </row>
    <row r="32" spans="12:19" ht="15" customHeight="1" x14ac:dyDescent="0.25">
      <c r="L32" s="203">
        <v>9</v>
      </c>
      <c r="M32" s="203">
        <v>120</v>
      </c>
      <c r="N32" s="203">
        <v>59</v>
      </c>
      <c r="O32" s="203">
        <v>120</v>
      </c>
    </row>
    <row r="33" spans="12:15" ht="15" customHeight="1" x14ac:dyDescent="0.25">
      <c r="L33" s="203">
        <v>10</v>
      </c>
      <c r="M33" s="203">
        <v>130</v>
      </c>
      <c r="N33" s="203">
        <v>60</v>
      </c>
      <c r="O33" s="203">
        <v>130</v>
      </c>
    </row>
    <row r="34" spans="12:15" ht="15" customHeight="1" x14ac:dyDescent="0.25">
      <c r="L34" s="203">
        <v>11</v>
      </c>
      <c r="M34" s="203">
        <v>140</v>
      </c>
      <c r="N34" s="203">
        <v>61</v>
      </c>
      <c r="O34" s="203">
        <v>140</v>
      </c>
    </row>
    <row r="35" spans="12:15" ht="15" customHeight="1" x14ac:dyDescent="0.25">
      <c r="L35" s="203">
        <v>12</v>
      </c>
      <c r="M35" s="203">
        <v>150</v>
      </c>
      <c r="N35" s="203">
        <v>62</v>
      </c>
      <c r="O35" s="203">
        <v>150</v>
      </c>
    </row>
    <row r="36" spans="12:15" ht="15" customHeight="1" x14ac:dyDescent="0.25">
      <c r="L36" s="203">
        <v>13</v>
      </c>
      <c r="M36" s="203">
        <v>155</v>
      </c>
      <c r="N36" s="203">
        <v>63</v>
      </c>
      <c r="O36" s="203">
        <v>155</v>
      </c>
    </row>
    <row r="37" spans="12:15" ht="15" customHeight="1" x14ac:dyDescent="0.25">
      <c r="L37" s="203">
        <v>14</v>
      </c>
      <c r="M37" s="203">
        <v>148</v>
      </c>
      <c r="N37" s="203">
        <v>64</v>
      </c>
      <c r="O37" s="203">
        <v>148</v>
      </c>
    </row>
    <row r="38" spans="12:15" ht="15" customHeight="1" x14ac:dyDescent="0.25">
      <c r="L38" s="203">
        <v>14.5</v>
      </c>
      <c r="M38" s="203">
        <v>138</v>
      </c>
      <c r="N38" s="203">
        <v>64.5</v>
      </c>
      <c r="O38" s="203">
        <v>138</v>
      </c>
    </row>
    <row r="39" spans="12:15" ht="15" customHeight="1" x14ac:dyDescent="0.25">
      <c r="L39" s="203">
        <v>15</v>
      </c>
      <c r="M39" s="203">
        <v>128</v>
      </c>
      <c r="N39" s="203">
        <v>65</v>
      </c>
      <c r="O39" s="203">
        <v>128</v>
      </c>
    </row>
    <row r="40" spans="12:15" ht="15" customHeight="1" x14ac:dyDescent="0.25">
      <c r="L40" s="203">
        <v>14.5</v>
      </c>
      <c r="M40" s="203">
        <v>118</v>
      </c>
      <c r="N40" s="203">
        <v>64.5</v>
      </c>
      <c r="O40" s="203">
        <v>118</v>
      </c>
    </row>
    <row r="41" spans="12:15" ht="15" customHeight="1" x14ac:dyDescent="0.25">
      <c r="L41" s="203">
        <v>13</v>
      </c>
      <c r="M41" s="203">
        <v>110</v>
      </c>
      <c r="N41" s="203">
        <v>63</v>
      </c>
      <c r="O41" s="203">
        <v>110</v>
      </c>
    </row>
    <row r="42" spans="12:15" ht="15" customHeight="1" x14ac:dyDescent="0.25">
      <c r="L42" s="203">
        <v>12</v>
      </c>
      <c r="M42" s="203">
        <v>103</v>
      </c>
      <c r="N42" s="203">
        <v>62</v>
      </c>
      <c r="O42" s="203">
        <v>103</v>
      </c>
    </row>
    <row r="43" spans="12:15" ht="15" customHeight="1" x14ac:dyDescent="0.25">
      <c r="L43" s="203">
        <v>12</v>
      </c>
      <c r="M43" s="203">
        <v>95</v>
      </c>
      <c r="N43" s="203">
        <v>62</v>
      </c>
      <c r="O43" s="203">
        <v>95</v>
      </c>
    </row>
    <row r="44" spans="12:15" ht="15" customHeight="1" x14ac:dyDescent="0.25">
      <c r="L44" s="203">
        <v>12.5</v>
      </c>
      <c r="M44" s="203">
        <v>85</v>
      </c>
      <c r="N44" s="203">
        <v>62.5</v>
      </c>
      <c r="O44" s="203">
        <v>85</v>
      </c>
    </row>
    <row r="45" spans="12:15" ht="15" customHeight="1" x14ac:dyDescent="0.25">
      <c r="L45" s="203">
        <v>13.5</v>
      </c>
      <c r="M45" s="203">
        <v>70</v>
      </c>
      <c r="N45" s="203">
        <v>63.5</v>
      </c>
      <c r="O45" s="203">
        <v>70</v>
      </c>
    </row>
    <row r="46" spans="12:15" ht="15" customHeight="1" x14ac:dyDescent="0.25">
      <c r="L46" s="203">
        <v>14.5</v>
      </c>
      <c r="M46" s="203">
        <v>58</v>
      </c>
      <c r="N46" s="203">
        <v>64.5</v>
      </c>
      <c r="O46" s="203">
        <v>58</v>
      </c>
    </row>
    <row r="47" spans="12:15" ht="15" customHeight="1" x14ac:dyDescent="0.25">
      <c r="L47" s="203">
        <v>15</v>
      </c>
      <c r="M47" s="203">
        <v>52</v>
      </c>
      <c r="N47" s="203">
        <v>65</v>
      </c>
      <c r="O47" s="203">
        <v>52</v>
      </c>
    </row>
    <row r="48" spans="12:15" ht="15" customHeight="1" x14ac:dyDescent="0.25">
      <c r="L48" s="203">
        <v>15.5</v>
      </c>
      <c r="M48" s="203">
        <v>45</v>
      </c>
      <c r="N48" s="203">
        <v>65.5</v>
      </c>
      <c r="O48" s="203">
        <v>45</v>
      </c>
    </row>
    <row r="49" spans="12:15" ht="15" customHeight="1" x14ac:dyDescent="0.25">
      <c r="L49" s="203">
        <v>16</v>
      </c>
      <c r="M49" s="203">
        <v>35</v>
      </c>
      <c r="N49" s="203">
        <v>66</v>
      </c>
      <c r="O49" s="203">
        <v>35</v>
      </c>
    </row>
    <row r="50" spans="12:15" ht="15" customHeight="1" x14ac:dyDescent="0.25">
      <c r="L50" s="203">
        <v>17.5</v>
      </c>
      <c r="M50" s="203">
        <v>22</v>
      </c>
      <c r="N50" s="203">
        <v>67.5</v>
      </c>
      <c r="O50" s="203">
        <v>22</v>
      </c>
    </row>
    <row r="51" spans="12:15" ht="15" customHeight="1" x14ac:dyDescent="0.25">
      <c r="L51" s="203">
        <v>18.5</v>
      </c>
      <c r="M51" s="203">
        <v>14</v>
      </c>
      <c r="N51" s="203">
        <v>68.5</v>
      </c>
      <c r="O51" s="203">
        <v>14</v>
      </c>
    </row>
    <row r="52" spans="12:15" ht="15" customHeight="1" x14ac:dyDescent="0.25">
      <c r="L52" s="203">
        <v>19</v>
      </c>
      <c r="M52" s="203">
        <v>9</v>
      </c>
      <c r="N52" s="203">
        <v>69</v>
      </c>
      <c r="O52" s="203">
        <v>9</v>
      </c>
    </row>
    <row r="53" spans="12:15" ht="15" customHeight="1" x14ac:dyDescent="0.25">
      <c r="L53" s="203">
        <v>17</v>
      </c>
      <c r="M53" s="203">
        <v>4</v>
      </c>
      <c r="N53" s="203">
        <v>67</v>
      </c>
      <c r="O53" s="203">
        <v>4</v>
      </c>
    </row>
    <row r="54" spans="12:15" ht="15" customHeight="1" x14ac:dyDescent="0.25">
      <c r="L54" s="203">
        <v>16</v>
      </c>
      <c r="M54" s="203">
        <v>1</v>
      </c>
      <c r="N54" s="203">
        <v>66</v>
      </c>
      <c r="O54" s="203">
        <v>1</v>
      </c>
    </row>
    <row r="55" spans="12:15" ht="15" customHeight="1" x14ac:dyDescent="0.25">
      <c r="L55" s="203">
        <v>22</v>
      </c>
      <c r="M55" s="203">
        <v>0</v>
      </c>
      <c r="N55" s="203">
        <v>72</v>
      </c>
      <c r="O55" s="203">
        <v>0</v>
      </c>
    </row>
    <row r="56" spans="12:15" ht="15" customHeight="1" x14ac:dyDescent="0.25">
      <c r="L56" s="203">
        <v>22.5</v>
      </c>
      <c r="M56" s="203">
        <v>5</v>
      </c>
      <c r="N56" s="203">
        <v>72.5</v>
      </c>
      <c r="O56" s="203">
        <v>5</v>
      </c>
    </row>
    <row r="57" spans="12:15" ht="15" customHeight="1" x14ac:dyDescent="0.25">
      <c r="L57" s="203">
        <v>22</v>
      </c>
      <c r="M57" s="203">
        <v>12</v>
      </c>
      <c r="N57" s="203">
        <v>72</v>
      </c>
      <c r="O57" s="203">
        <v>12</v>
      </c>
    </row>
    <row r="58" spans="12:15" ht="15" customHeight="1" x14ac:dyDescent="0.25">
      <c r="L58" s="203">
        <v>21.5</v>
      </c>
      <c r="M58" s="203">
        <v>25</v>
      </c>
      <c r="N58" s="203">
        <v>71.5</v>
      </c>
      <c r="O58" s="203">
        <v>25</v>
      </c>
    </row>
    <row r="59" spans="12:15" ht="15" customHeight="1" x14ac:dyDescent="0.25">
      <c r="L59" s="203">
        <v>21</v>
      </c>
      <c r="M59" s="203">
        <v>40</v>
      </c>
      <c r="N59" s="203">
        <v>71</v>
      </c>
      <c r="O59" s="203">
        <v>40</v>
      </c>
    </row>
    <row r="60" spans="12:15" ht="15" customHeight="1" x14ac:dyDescent="0.25">
      <c r="L60" s="203">
        <v>21</v>
      </c>
      <c r="M60" s="203">
        <v>55</v>
      </c>
      <c r="N60" s="203">
        <v>71</v>
      </c>
      <c r="O60" s="203">
        <v>55</v>
      </c>
    </row>
    <row r="61" spans="12:15" ht="15" customHeight="1" x14ac:dyDescent="0.25">
      <c r="L61" s="203">
        <v>21.5</v>
      </c>
      <c r="M61" s="203">
        <v>70</v>
      </c>
      <c r="N61" s="203">
        <v>71.5</v>
      </c>
      <c r="O61" s="203">
        <v>70</v>
      </c>
    </row>
    <row r="62" spans="12:15" ht="15" customHeight="1" x14ac:dyDescent="0.25">
      <c r="L62" s="203">
        <v>22</v>
      </c>
      <c r="M62" s="203">
        <v>85</v>
      </c>
      <c r="N62" s="203">
        <v>72</v>
      </c>
      <c r="O62" s="203">
        <v>85</v>
      </c>
    </row>
    <row r="63" spans="12:15" ht="15" customHeight="1" x14ac:dyDescent="0.25">
      <c r="L63" s="203">
        <v>25</v>
      </c>
      <c r="M63" s="203">
        <v>89</v>
      </c>
      <c r="N63" s="203">
        <v>75</v>
      </c>
      <c r="O63" s="203">
        <v>89</v>
      </c>
    </row>
    <row r="64" spans="12:15" ht="15" customHeight="1" x14ac:dyDescent="0.25">
      <c r="L64" s="203">
        <v>25</v>
      </c>
      <c r="M64" s="203">
        <v>89</v>
      </c>
      <c r="N64" s="203">
        <v>75</v>
      </c>
      <c r="O64" s="203">
        <v>89</v>
      </c>
    </row>
    <row r="65" spans="1:15" ht="15" customHeight="1" x14ac:dyDescent="0.25">
      <c r="L65" s="203">
        <v>28</v>
      </c>
      <c r="M65" s="203">
        <v>85</v>
      </c>
      <c r="N65" s="203">
        <v>78</v>
      </c>
      <c r="O65" s="203">
        <v>85</v>
      </c>
    </row>
    <row r="66" spans="1:15" ht="15" customHeight="1" x14ac:dyDescent="0.25">
      <c r="L66" s="203">
        <v>28.5</v>
      </c>
      <c r="M66" s="203">
        <v>70</v>
      </c>
      <c r="N66" s="203">
        <v>78.5</v>
      </c>
      <c r="O66" s="203">
        <v>70</v>
      </c>
    </row>
    <row r="67" spans="1:15" ht="15" customHeight="1" x14ac:dyDescent="0.25">
      <c r="L67" s="203">
        <v>29</v>
      </c>
      <c r="M67" s="203">
        <v>55</v>
      </c>
      <c r="N67" s="203">
        <v>79</v>
      </c>
      <c r="O67" s="203">
        <v>55</v>
      </c>
    </row>
    <row r="68" spans="1:15" ht="15" customHeight="1" x14ac:dyDescent="0.25">
      <c r="L68" s="203">
        <v>29</v>
      </c>
      <c r="M68" s="203">
        <v>40</v>
      </c>
      <c r="N68" s="203">
        <v>79</v>
      </c>
      <c r="O68" s="203">
        <v>40</v>
      </c>
    </row>
    <row r="69" spans="1:15" ht="15" customHeight="1" x14ac:dyDescent="0.25">
      <c r="L69" s="203">
        <v>28.5</v>
      </c>
      <c r="M69" s="203">
        <v>25</v>
      </c>
      <c r="N69" s="203">
        <v>78.5</v>
      </c>
      <c r="O69" s="203">
        <v>25</v>
      </c>
    </row>
    <row r="70" spans="1:15" ht="15" customHeight="1" x14ac:dyDescent="0.25">
      <c r="L70" s="203">
        <v>28</v>
      </c>
      <c r="M70" s="203">
        <v>12</v>
      </c>
      <c r="N70" s="203">
        <v>78</v>
      </c>
      <c r="O70" s="203">
        <v>12</v>
      </c>
    </row>
    <row r="71" spans="1:15" ht="15" customHeight="1" x14ac:dyDescent="0.25">
      <c r="A71" s="357" t="s">
        <v>4696</v>
      </c>
      <c r="B71" s="357"/>
      <c r="C71" s="357"/>
      <c r="D71" s="357"/>
      <c r="E71" s="357"/>
      <c r="F71" s="357"/>
      <c r="G71" s="357"/>
      <c r="H71" s="357"/>
      <c r="L71" s="203">
        <v>27.5</v>
      </c>
      <c r="M71" s="203">
        <v>5</v>
      </c>
      <c r="N71" s="203">
        <v>77.5</v>
      </c>
      <c r="O71" s="203">
        <v>5</v>
      </c>
    </row>
    <row r="72" spans="1:15" ht="51.75" customHeight="1" x14ac:dyDescent="0.25">
      <c r="A72" s="360" t="s">
        <v>4697</v>
      </c>
      <c r="B72" s="360"/>
      <c r="C72" s="361" t="s">
        <v>4698</v>
      </c>
      <c r="D72" s="361"/>
      <c r="E72" s="361"/>
      <c r="F72" s="361"/>
      <c r="G72" s="361"/>
      <c r="H72" s="361"/>
      <c r="L72" s="203">
        <v>28</v>
      </c>
      <c r="M72" s="203">
        <v>0</v>
      </c>
      <c r="N72" s="203">
        <v>78</v>
      </c>
      <c r="O72" s="203">
        <v>0</v>
      </c>
    </row>
    <row r="73" spans="1:15" ht="51.75" customHeight="1" x14ac:dyDescent="0.25">
      <c r="A73" s="360" t="s">
        <v>4699</v>
      </c>
      <c r="B73" s="360"/>
      <c r="C73" s="361" t="s">
        <v>4700</v>
      </c>
      <c r="D73" s="361"/>
      <c r="E73" s="361"/>
      <c r="F73" s="361"/>
      <c r="G73" s="361"/>
      <c r="H73" s="361"/>
      <c r="L73" s="203">
        <v>34</v>
      </c>
      <c r="M73" s="203">
        <v>1</v>
      </c>
      <c r="N73" s="203">
        <v>84</v>
      </c>
      <c r="O73" s="203">
        <v>1</v>
      </c>
    </row>
    <row r="74" spans="1:15" ht="51.75" customHeight="1" x14ac:dyDescent="0.25">
      <c r="A74" s="360" t="s">
        <v>4701</v>
      </c>
      <c r="B74" s="360"/>
      <c r="C74" s="361" t="s">
        <v>4702</v>
      </c>
      <c r="D74" s="361"/>
      <c r="E74" s="361"/>
      <c r="F74" s="361"/>
      <c r="G74" s="361"/>
      <c r="H74" s="361"/>
      <c r="L74" s="203">
        <v>33</v>
      </c>
      <c r="M74" s="203">
        <v>4</v>
      </c>
      <c r="N74" s="203">
        <v>83</v>
      </c>
      <c r="O74" s="203">
        <v>4</v>
      </c>
    </row>
    <row r="75" spans="1:15" ht="51.75" customHeight="1" x14ac:dyDescent="0.25">
      <c r="A75" s="387" t="s">
        <v>4703</v>
      </c>
      <c r="B75" s="387"/>
      <c r="C75" s="388" t="s">
        <v>4704</v>
      </c>
      <c r="D75" s="388"/>
      <c r="E75" s="388"/>
      <c r="F75" s="388"/>
      <c r="G75" s="388"/>
      <c r="H75" s="388"/>
      <c r="L75" s="203">
        <v>31</v>
      </c>
      <c r="M75" s="203">
        <v>9</v>
      </c>
      <c r="N75" s="203">
        <v>81</v>
      </c>
      <c r="O75" s="203">
        <v>9</v>
      </c>
    </row>
    <row r="76" spans="1:15" ht="51.75" customHeight="1" x14ac:dyDescent="0.25">
      <c r="A76" s="360" t="s">
        <v>4705</v>
      </c>
      <c r="B76" s="360"/>
      <c r="C76" s="361" t="s">
        <v>4706</v>
      </c>
      <c r="D76" s="361"/>
      <c r="E76" s="361"/>
      <c r="F76" s="361"/>
      <c r="G76" s="361"/>
      <c r="H76" s="361"/>
      <c r="L76" s="203">
        <v>31.5</v>
      </c>
      <c r="M76" s="203">
        <v>14</v>
      </c>
      <c r="N76" s="203">
        <v>81.5</v>
      </c>
      <c r="O76" s="203">
        <v>14</v>
      </c>
    </row>
    <row r="77" spans="1:15" ht="51.75" customHeight="1" x14ac:dyDescent="0.25">
      <c r="A77" s="387" t="s">
        <v>4707</v>
      </c>
      <c r="B77" s="387"/>
      <c r="C77" s="388" t="s">
        <v>4708</v>
      </c>
      <c r="D77" s="388"/>
      <c r="E77" s="388"/>
      <c r="F77" s="388"/>
      <c r="G77" s="388"/>
      <c r="H77" s="388"/>
      <c r="L77" s="203">
        <v>32.5</v>
      </c>
      <c r="M77" s="203">
        <v>22</v>
      </c>
      <c r="N77" s="203">
        <v>82.5</v>
      </c>
      <c r="O77" s="203">
        <v>22</v>
      </c>
    </row>
    <row r="78" spans="1:15" ht="51.75" customHeight="1" x14ac:dyDescent="0.25">
      <c r="A78" s="360" t="s">
        <v>4709</v>
      </c>
      <c r="B78" s="360"/>
      <c r="C78" s="361" t="s">
        <v>4710</v>
      </c>
      <c r="D78" s="361"/>
      <c r="E78" s="361"/>
      <c r="F78" s="361"/>
      <c r="G78" s="361"/>
      <c r="H78" s="361"/>
      <c r="L78" s="203">
        <v>34</v>
      </c>
      <c r="M78" s="203">
        <v>35</v>
      </c>
      <c r="N78" s="203">
        <v>84</v>
      </c>
      <c r="O78" s="203">
        <v>35</v>
      </c>
    </row>
    <row r="79" spans="1:15" ht="15" customHeight="1" x14ac:dyDescent="0.25">
      <c r="L79" s="203">
        <v>34.5</v>
      </c>
      <c r="M79" s="203">
        <v>45</v>
      </c>
      <c r="N79" s="203">
        <v>84.5</v>
      </c>
      <c r="O79" s="203">
        <v>45</v>
      </c>
    </row>
    <row r="80" spans="1:15" ht="15" customHeight="1" x14ac:dyDescent="0.25">
      <c r="L80" s="203">
        <v>35</v>
      </c>
      <c r="M80" s="203">
        <v>52</v>
      </c>
      <c r="N80" s="203">
        <v>85</v>
      </c>
      <c r="O80" s="203">
        <v>52</v>
      </c>
    </row>
    <row r="81" spans="12:15" ht="15" customHeight="1" x14ac:dyDescent="0.25">
      <c r="L81" s="203">
        <v>35.5</v>
      </c>
      <c r="M81" s="203">
        <v>58</v>
      </c>
      <c r="N81" s="203">
        <v>85.5</v>
      </c>
      <c r="O81" s="203">
        <v>58</v>
      </c>
    </row>
    <row r="82" spans="12:15" ht="15" customHeight="1" x14ac:dyDescent="0.25">
      <c r="L82" s="203">
        <v>36.5</v>
      </c>
      <c r="M82" s="203">
        <v>70</v>
      </c>
      <c r="N82" s="203">
        <v>86.5</v>
      </c>
      <c r="O82" s="203">
        <v>70</v>
      </c>
    </row>
    <row r="83" spans="12:15" ht="15" customHeight="1" x14ac:dyDescent="0.25">
      <c r="L83" s="203">
        <v>37.5</v>
      </c>
      <c r="M83" s="203">
        <v>85</v>
      </c>
      <c r="N83" s="203">
        <v>87.5</v>
      </c>
      <c r="O83" s="203">
        <v>85</v>
      </c>
    </row>
    <row r="84" spans="12:15" ht="15" customHeight="1" x14ac:dyDescent="0.25">
      <c r="L84" s="203">
        <v>38</v>
      </c>
      <c r="M84" s="203">
        <v>95</v>
      </c>
      <c r="N84" s="203">
        <v>88</v>
      </c>
      <c r="O84" s="203">
        <v>95</v>
      </c>
    </row>
    <row r="85" spans="12:15" ht="15" customHeight="1" x14ac:dyDescent="0.25">
      <c r="L85" s="203">
        <v>38</v>
      </c>
      <c r="M85" s="203">
        <v>103</v>
      </c>
      <c r="N85" s="203">
        <v>88</v>
      </c>
      <c r="O85" s="203">
        <v>103</v>
      </c>
    </row>
    <row r="86" spans="12:15" ht="15" customHeight="1" x14ac:dyDescent="0.25">
      <c r="L86" s="203">
        <v>37</v>
      </c>
      <c r="M86" s="203">
        <v>110</v>
      </c>
      <c r="N86" s="203">
        <v>87</v>
      </c>
      <c r="O86" s="203">
        <v>110</v>
      </c>
    </row>
    <row r="87" spans="12:15" ht="15" customHeight="1" x14ac:dyDescent="0.25">
      <c r="L87" s="203">
        <v>35.5</v>
      </c>
      <c r="M87" s="203">
        <v>118</v>
      </c>
      <c r="N87" s="203">
        <v>85.5</v>
      </c>
      <c r="O87" s="203">
        <v>118</v>
      </c>
    </row>
    <row r="88" spans="12:15" ht="15" customHeight="1" x14ac:dyDescent="0.25">
      <c r="L88" s="203">
        <v>35</v>
      </c>
      <c r="M88" s="203">
        <v>128</v>
      </c>
      <c r="N88" s="203">
        <v>85</v>
      </c>
      <c r="O88" s="203">
        <v>128</v>
      </c>
    </row>
    <row r="89" spans="12:15" ht="15" customHeight="1" x14ac:dyDescent="0.25">
      <c r="L89" s="203">
        <v>35.5</v>
      </c>
      <c r="M89" s="203">
        <v>138</v>
      </c>
      <c r="N89" s="203">
        <v>85.5</v>
      </c>
      <c r="O89" s="203">
        <v>138</v>
      </c>
    </row>
    <row r="90" spans="12:15" ht="15" customHeight="1" x14ac:dyDescent="0.25">
      <c r="L90" s="203">
        <v>36</v>
      </c>
      <c r="M90" s="203">
        <v>148</v>
      </c>
      <c r="N90" s="203">
        <v>86</v>
      </c>
      <c r="O90" s="203">
        <v>148</v>
      </c>
    </row>
    <row r="91" spans="12:15" ht="15" customHeight="1" x14ac:dyDescent="0.25">
      <c r="L91" s="203">
        <v>37</v>
      </c>
      <c r="M91" s="203">
        <v>155</v>
      </c>
      <c r="N91" s="203">
        <v>87</v>
      </c>
      <c r="O91" s="203">
        <v>155</v>
      </c>
    </row>
    <row r="92" spans="12:15" ht="15" customHeight="1" x14ac:dyDescent="0.25">
      <c r="L92" s="203">
        <v>38</v>
      </c>
      <c r="M92" s="203">
        <v>150</v>
      </c>
      <c r="N92" s="203">
        <v>88</v>
      </c>
      <c r="O92" s="203">
        <v>150</v>
      </c>
    </row>
    <row r="93" spans="12:15" ht="15" customHeight="1" x14ac:dyDescent="0.25">
      <c r="L93" s="203">
        <v>39</v>
      </c>
      <c r="M93" s="203">
        <v>140</v>
      </c>
      <c r="N93" s="203">
        <v>89</v>
      </c>
      <c r="O93" s="203">
        <v>140</v>
      </c>
    </row>
    <row r="94" spans="12:15" ht="15" customHeight="1" x14ac:dyDescent="0.25">
      <c r="L94" s="203">
        <v>40</v>
      </c>
      <c r="M94" s="203">
        <v>130</v>
      </c>
      <c r="N94" s="203">
        <v>90</v>
      </c>
      <c r="O94" s="203">
        <v>130</v>
      </c>
    </row>
    <row r="95" spans="12:15" ht="15" customHeight="1" x14ac:dyDescent="0.25">
      <c r="L95" s="203">
        <v>41</v>
      </c>
      <c r="M95" s="203">
        <v>120</v>
      </c>
      <c r="N95" s="203">
        <v>91</v>
      </c>
      <c r="O95" s="203">
        <v>120</v>
      </c>
    </row>
    <row r="96" spans="12:15" ht="15" customHeight="1" x14ac:dyDescent="0.25">
      <c r="L96" s="203">
        <v>42.5</v>
      </c>
      <c r="M96" s="203">
        <v>110</v>
      </c>
      <c r="N96" s="203">
        <v>92.5</v>
      </c>
      <c r="O96" s="203">
        <v>110</v>
      </c>
    </row>
    <row r="97" spans="12:15" ht="15" customHeight="1" x14ac:dyDescent="0.25">
      <c r="L97" s="203">
        <v>44</v>
      </c>
      <c r="M97" s="203">
        <v>100</v>
      </c>
      <c r="N97" s="203">
        <v>94</v>
      </c>
      <c r="O97" s="203">
        <v>100</v>
      </c>
    </row>
    <row r="98" spans="12:15" ht="15" customHeight="1" x14ac:dyDescent="0.25">
      <c r="L98" s="203">
        <v>45.5</v>
      </c>
      <c r="M98" s="203">
        <v>92</v>
      </c>
      <c r="N98" s="203">
        <v>95.5</v>
      </c>
      <c r="O98" s="203">
        <v>92</v>
      </c>
    </row>
    <row r="99" spans="12:15" ht="15" customHeight="1" x14ac:dyDescent="0.25">
      <c r="L99" s="203">
        <v>47</v>
      </c>
      <c r="M99" s="203">
        <v>87</v>
      </c>
      <c r="N99" s="203">
        <v>97</v>
      </c>
      <c r="O99" s="203">
        <v>87</v>
      </c>
    </row>
    <row r="100" spans="12:15" ht="15" customHeight="1" x14ac:dyDescent="0.25">
      <c r="L100" s="203">
        <v>49</v>
      </c>
      <c r="M100" s="203">
        <v>85</v>
      </c>
      <c r="N100" s="203">
        <v>99</v>
      </c>
      <c r="O100" s="203">
        <v>85</v>
      </c>
    </row>
    <row r="101" spans="12:15" ht="15" customHeight="1" x14ac:dyDescent="0.25">
      <c r="L101" s="203">
        <v>50.5</v>
      </c>
      <c r="M101" s="203">
        <v>88</v>
      </c>
      <c r="N101" s="203">
        <v>100.5</v>
      </c>
      <c r="O101" s="203">
        <v>88</v>
      </c>
    </row>
    <row r="102" spans="12:15" ht="15" customHeight="1" x14ac:dyDescent="0.25">
      <c r="L102" s="203">
        <v>50</v>
      </c>
      <c r="M102" s="203">
        <v>94</v>
      </c>
      <c r="N102" s="203">
        <v>100</v>
      </c>
      <c r="O102" s="203">
        <v>94</v>
      </c>
    </row>
    <row r="103" spans="12:15" ht="15" customHeight="1" x14ac:dyDescent="0.25">
      <c r="L103" s="203">
        <v>48.5</v>
      </c>
      <c r="M103" s="203">
        <v>100</v>
      </c>
      <c r="N103" s="203">
        <v>98.5</v>
      </c>
      <c r="O103" s="203">
        <v>100</v>
      </c>
    </row>
    <row r="104" spans="12:15" ht="15" customHeight="1" x14ac:dyDescent="0.25">
      <c r="L104" s="203">
        <v>47.5</v>
      </c>
      <c r="M104" s="203">
        <v>110</v>
      </c>
      <c r="N104" s="203">
        <v>97.5</v>
      </c>
      <c r="O104" s="203">
        <v>110</v>
      </c>
    </row>
    <row r="105" spans="12:15" ht="15" customHeight="1" x14ac:dyDescent="0.25">
      <c r="L105" s="203">
        <v>46.5</v>
      </c>
      <c r="M105" s="203">
        <v>120</v>
      </c>
      <c r="N105" s="203">
        <v>96.5</v>
      </c>
      <c r="O105" s="203">
        <v>120</v>
      </c>
    </row>
    <row r="106" spans="12:15" ht="15" customHeight="1" x14ac:dyDescent="0.25">
      <c r="L106" s="203">
        <v>45.5</v>
      </c>
      <c r="M106" s="203">
        <v>130</v>
      </c>
      <c r="N106" s="203">
        <v>95.5</v>
      </c>
      <c r="O106" s="203">
        <v>130</v>
      </c>
    </row>
    <row r="107" spans="12:15" ht="15" customHeight="1" x14ac:dyDescent="0.25">
      <c r="L107" s="203">
        <v>44.5</v>
      </c>
      <c r="M107" s="203">
        <v>140</v>
      </c>
      <c r="N107" s="203">
        <v>94.5</v>
      </c>
      <c r="O107" s="203">
        <v>140</v>
      </c>
    </row>
    <row r="108" spans="12:15" ht="15" customHeight="1" x14ac:dyDescent="0.25">
      <c r="L108" s="203">
        <v>43.5</v>
      </c>
      <c r="M108" s="203">
        <v>150</v>
      </c>
      <c r="N108" s="203">
        <v>93.5</v>
      </c>
      <c r="O108" s="203">
        <v>150</v>
      </c>
    </row>
    <row r="109" spans="12:15" ht="15" customHeight="1" x14ac:dyDescent="0.25">
      <c r="L109" s="203">
        <v>42.5</v>
      </c>
      <c r="M109" s="203">
        <v>158</v>
      </c>
      <c r="N109" s="203">
        <v>92.5</v>
      </c>
      <c r="O109" s="203">
        <v>158</v>
      </c>
    </row>
    <row r="110" spans="12:15" ht="15" customHeight="1" x14ac:dyDescent="0.25">
      <c r="L110" s="203">
        <v>41</v>
      </c>
      <c r="M110" s="203">
        <v>163</v>
      </c>
      <c r="N110" s="203">
        <v>91</v>
      </c>
      <c r="O110" s="203">
        <v>163</v>
      </c>
    </row>
    <row r="111" spans="12:15" ht="15" customHeight="1" x14ac:dyDescent="0.25">
      <c r="L111" s="203">
        <v>39</v>
      </c>
      <c r="M111" s="203">
        <v>166</v>
      </c>
      <c r="N111" s="203">
        <v>89</v>
      </c>
      <c r="O111" s="203">
        <v>166</v>
      </c>
    </row>
    <row r="112" spans="12:15" ht="15" customHeight="1" x14ac:dyDescent="0.25">
      <c r="L112" s="203">
        <v>34</v>
      </c>
      <c r="M112" s="203">
        <v>168</v>
      </c>
      <c r="N112" s="203">
        <v>84</v>
      </c>
      <c r="O112" s="203">
        <v>168</v>
      </c>
    </row>
    <row r="113" spans="12:15" ht="15" customHeight="1" x14ac:dyDescent="0.25">
      <c r="L113" s="203">
        <v>29.5</v>
      </c>
      <c r="M113" s="203">
        <v>170</v>
      </c>
      <c r="N113" s="203">
        <v>79.5</v>
      </c>
      <c r="O113" s="203">
        <v>170</v>
      </c>
    </row>
    <row r="114" spans="12:15" ht="15" customHeight="1" x14ac:dyDescent="0.25">
      <c r="L114" s="203">
        <v>28.5</v>
      </c>
      <c r="M114" s="203">
        <v>173</v>
      </c>
      <c r="N114" s="203">
        <v>78.5</v>
      </c>
      <c r="O114" s="203">
        <v>173</v>
      </c>
    </row>
    <row r="115" spans="12:15" ht="15" customHeight="1" x14ac:dyDescent="0.25">
      <c r="L115" s="203">
        <v>29</v>
      </c>
      <c r="M115" s="203">
        <v>176</v>
      </c>
      <c r="N115" s="203">
        <v>79</v>
      </c>
      <c r="O115" s="203">
        <v>176</v>
      </c>
    </row>
    <row r="116" spans="12:15" ht="15" customHeight="1" x14ac:dyDescent="0.25">
      <c r="L116" s="203">
        <v>30</v>
      </c>
      <c r="M116" s="203">
        <v>179</v>
      </c>
      <c r="N116" s="203">
        <v>80</v>
      </c>
      <c r="O116" s="203">
        <v>179</v>
      </c>
    </row>
    <row r="117" spans="12:15" ht="15" customHeight="1" x14ac:dyDescent="0.25">
      <c r="L117" s="203">
        <v>31.5</v>
      </c>
      <c r="M117" s="203">
        <v>183</v>
      </c>
      <c r="N117" s="203">
        <v>81.5</v>
      </c>
      <c r="O117" s="203">
        <v>183</v>
      </c>
    </row>
    <row r="118" spans="12:15" ht="15" customHeight="1" x14ac:dyDescent="0.25">
      <c r="L118" s="203">
        <v>32</v>
      </c>
      <c r="M118" s="203">
        <v>189</v>
      </c>
      <c r="N118" s="203">
        <v>82</v>
      </c>
      <c r="O118" s="203">
        <v>189</v>
      </c>
    </row>
    <row r="119" spans="12:15" ht="15" customHeight="1" x14ac:dyDescent="0.25">
      <c r="L119" s="203">
        <v>31</v>
      </c>
      <c r="M119" s="203">
        <v>195</v>
      </c>
      <c r="N119" s="203">
        <v>81</v>
      </c>
      <c r="O119" s="203">
        <v>195</v>
      </c>
    </row>
    <row r="120" spans="12:15" ht="15" customHeight="1" x14ac:dyDescent="0.25">
      <c r="L120" s="203">
        <v>28.5</v>
      </c>
      <c r="M120" s="203">
        <v>199</v>
      </c>
      <c r="N120" s="203">
        <v>78.5</v>
      </c>
      <c r="O120" s="203">
        <v>199</v>
      </c>
    </row>
    <row r="121" spans="12:15" ht="15" customHeight="1" x14ac:dyDescent="0.25">
      <c r="L121" s="203">
        <v>25</v>
      </c>
      <c r="M121" s="203">
        <v>200</v>
      </c>
      <c r="N121" s="203">
        <v>75</v>
      </c>
      <c r="O121" s="203">
        <v>200</v>
      </c>
    </row>
  </sheetData>
  <sheetProtection password="EBB1" sheet="1" formatColumns="0" formatRows="0" sort="0" autoFilter="0"/>
  <mergeCells count="29">
    <mergeCell ref="A78:B78"/>
    <mergeCell ref="C78:H78"/>
    <mergeCell ref="A75:B75"/>
    <mergeCell ref="C75:H75"/>
    <mergeCell ref="A76:B76"/>
    <mergeCell ref="C76:H76"/>
    <mergeCell ref="A77:B77"/>
    <mergeCell ref="C77:H77"/>
    <mergeCell ref="A72:B72"/>
    <mergeCell ref="C72:H72"/>
    <mergeCell ref="A73:B73"/>
    <mergeCell ref="C73:H73"/>
    <mergeCell ref="A74:B74"/>
    <mergeCell ref="C74:H74"/>
    <mergeCell ref="B12:H12"/>
    <mergeCell ref="B13:H13"/>
    <mergeCell ref="B14:H14"/>
    <mergeCell ref="B15:H15"/>
    <mergeCell ref="A71:H71"/>
    <mergeCell ref="B7:H7"/>
    <mergeCell ref="B8:H8"/>
    <mergeCell ref="B9:H9"/>
    <mergeCell ref="B10:H10"/>
    <mergeCell ref="B11:H11"/>
    <mergeCell ref="A1:H1"/>
    <mergeCell ref="A2:H2"/>
    <mergeCell ref="C4:H4"/>
    <mergeCell ref="L4:S4"/>
    <mergeCell ref="B6:H6"/>
  </mergeCells>
  <pageMargins left="0.75" right="0.75" top="1" bottom="1" header="0.511811023622047" footer="0.511811023622047"/>
  <pageSetup paperSize="9" orientation="portrait" horizontalDpi="300" verticalDpi="300"/>
  <drawing r:id="rId1"/>
  <extLst>
    <ext xmlns:x14="http://schemas.microsoft.com/office/spreadsheetml/2009/9/main" uri="{CCE6A557-97BC-4b89-ADB6-D9C93CAAB3DF}">
      <x14:dataValidations xmlns:xm="http://schemas.microsoft.com/office/excel/2006/main" count="1">
        <x14:dataValidation type="list" errorTitle="Невідома точка" error="Такого коду немає в довіднику 232 точок">
          <x14:formula1>
            <xm:f>'Довідник_зон_S-matrix'!$C$3:$C$249</xm:f>
          </x14:formula1>
          <x14:formula2>
            <xm:f>0</xm:f>
          </x14:formula2>
          <xm:sqref>B4</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zoomScaleNormal="100" workbookViewId="0">
      <selection sqref="A1:N1"/>
    </sheetView>
  </sheetViews>
  <sheetFormatPr defaultColWidth="8.7109375" defaultRowHeight="15" x14ac:dyDescent="0.25"/>
  <cols>
    <col min="1" max="1" width="9" style="15" customWidth="1"/>
    <col min="2" max="2" width="12" style="15" customWidth="1"/>
    <col min="3" max="3" width="10" style="15" customWidth="1"/>
    <col min="4" max="4" width="16" style="15" customWidth="1"/>
    <col min="5" max="5" width="26" style="15" customWidth="1"/>
    <col min="6" max="6" width="11" style="15" customWidth="1"/>
    <col min="7" max="7" width="16" style="15" customWidth="1"/>
    <col min="8" max="8" width="9" style="15" customWidth="1"/>
    <col min="9" max="9" width="10" style="15" customWidth="1"/>
    <col min="10" max="11" width="15" style="15" customWidth="1"/>
    <col min="12" max="12" width="14" style="15" customWidth="1"/>
    <col min="13" max="13" width="10" style="15" customWidth="1"/>
    <col min="14" max="14" width="24" style="15" customWidth="1"/>
  </cols>
  <sheetData>
    <row r="1" spans="1:14" ht="21.75" customHeight="1" x14ac:dyDescent="0.25">
      <c r="A1" s="389" t="s">
        <v>4711</v>
      </c>
      <c r="B1" s="389"/>
      <c r="C1" s="389"/>
      <c r="D1" s="389"/>
      <c r="E1" s="389"/>
      <c r="F1" s="389"/>
      <c r="G1" s="389"/>
      <c r="H1" s="389"/>
      <c r="I1" s="389"/>
      <c r="J1" s="389"/>
      <c r="K1" s="389"/>
      <c r="L1" s="389"/>
      <c r="M1" s="389"/>
      <c r="N1" s="389"/>
    </row>
    <row r="2" spans="1:14" ht="33.75" customHeight="1" x14ac:dyDescent="0.25">
      <c r="A2" s="390" t="s">
        <v>4712</v>
      </c>
      <c r="B2" s="390"/>
      <c r="C2" s="390"/>
      <c r="D2" s="390"/>
      <c r="E2" s="390"/>
      <c r="F2" s="390"/>
      <c r="G2" s="390"/>
      <c r="H2" s="390"/>
      <c r="I2" s="390"/>
      <c r="J2" s="390"/>
      <c r="K2" s="390"/>
      <c r="L2" s="390"/>
      <c r="M2" s="390"/>
      <c r="N2" s="390"/>
    </row>
    <row r="3" spans="1:14" ht="15" customHeight="1" x14ac:dyDescent="0.25">
      <c r="A3" s="50"/>
      <c r="B3" s="50"/>
      <c r="C3" s="50"/>
      <c r="D3" s="50"/>
      <c r="E3" s="50"/>
      <c r="F3" s="50"/>
      <c r="G3" s="50"/>
      <c r="H3" s="50"/>
      <c r="I3" s="50"/>
      <c r="J3" s="50"/>
      <c r="K3" s="50"/>
      <c r="L3" s="50"/>
      <c r="M3" s="50"/>
      <c r="N3" s="50"/>
    </row>
    <row r="4" spans="1:14" ht="15" customHeight="1" x14ac:dyDescent="0.25">
      <c r="A4" s="391" t="s">
        <v>4713</v>
      </c>
      <c r="B4" s="391"/>
      <c r="C4" s="391"/>
      <c r="D4" s="391"/>
      <c r="E4" s="391"/>
      <c r="F4" s="391"/>
      <c r="G4" s="391"/>
      <c r="H4" s="391"/>
      <c r="I4" s="391"/>
      <c r="J4" s="391"/>
      <c r="K4" s="391"/>
      <c r="L4" s="391"/>
      <c r="M4" s="391"/>
      <c r="N4" s="391"/>
    </row>
    <row r="5" spans="1:14" ht="15" customHeight="1" x14ac:dyDescent="0.25">
      <c r="A5" s="392" t="s">
        <v>4714</v>
      </c>
      <c r="B5" s="392"/>
      <c r="C5" s="392"/>
      <c r="D5" s="392"/>
      <c r="E5" s="393"/>
      <c r="F5" s="393"/>
      <c r="G5" s="393"/>
      <c r="H5" s="393"/>
      <c r="I5" s="393"/>
      <c r="J5" s="394" t="s">
        <v>4715</v>
      </c>
      <c r="K5" s="394"/>
      <c r="L5" s="394"/>
      <c r="M5" s="394"/>
      <c r="N5" s="394"/>
    </row>
    <row r="6" spans="1:14" ht="15" customHeight="1" x14ac:dyDescent="0.25">
      <c r="A6" s="392" t="s">
        <v>4716</v>
      </c>
      <c r="B6" s="392"/>
      <c r="C6" s="392"/>
      <c r="D6" s="392"/>
      <c r="E6" s="393"/>
      <c r="F6" s="393"/>
      <c r="G6" s="393"/>
      <c r="H6" s="393"/>
      <c r="I6" s="393"/>
      <c r="J6" s="394"/>
      <c r="K6" s="394"/>
      <c r="L6" s="394"/>
      <c r="M6" s="394"/>
      <c r="N6" s="394"/>
    </row>
    <row r="7" spans="1:14" ht="15" customHeight="1" x14ac:dyDescent="0.25">
      <c r="A7" s="392" t="s">
        <v>4717</v>
      </c>
      <c r="B7" s="392"/>
      <c r="C7" s="392"/>
      <c r="D7" s="392"/>
      <c r="E7" s="393"/>
      <c r="F7" s="393"/>
      <c r="G7" s="393"/>
      <c r="H7" s="393"/>
      <c r="I7" s="393"/>
      <c r="J7" s="394"/>
      <c r="K7" s="394"/>
      <c r="L7" s="394"/>
      <c r="M7" s="394"/>
      <c r="N7" s="394"/>
    </row>
    <row r="8" spans="1:14" ht="15" customHeight="1" x14ac:dyDescent="0.25">
      <c r="A8" s="392" t="s">
        <v>4718</v>
      </c>
      <c r="B8" s="392"/>
      <c r="C8" s="392"/>
      <c r="D8" s="392"/>
      <c r="E8" s="393"/>
      <c r="F8" s="393"/>
      <c r="G8" s="393"/>
      <c r="H8" s="393"/>
      <c r="I8" s="393"/>
      <c r="J8" s="394"/>
      <c r="K8" s="394"/>
      <c r="L8" s="394"/>
      <c r="M8" s="394"/>
      <c r="N8" s="394"/>
    </row>
    <row r="9" spans="1:14" ht="15" customHeight="1" x14ac:dyDescent="0.25">
      <c r="A9" s="392" t="s">
        <v>4719</v>
      </c>
      <c r="B9" s="392"/>
      <c r="C9" s="392"/>
      <c r="D9" s="392"/>
      <c r="E9" s="393"/>
      <c r="F9" s="393"/>
      <c r="G9" s="393"/>
      <c r="H9" s="393"/>
      <c r="I9" s="393"/>
      <c r="J9" s="394" t="s">
        <v>4720</v>
      </c>
      <c r="K9" s="394"/>
      <c r="L9" s="394"/>
      <c r="M9" s="394"/>
      <c r="N9" s="394"/>
    </row>
    <row r="10" spans="1:14" ht="15" customHeight="1" x14ac:dyDescent="0.25">
      <c r="A10" s="392" t="s">
        <v>4721</v>
      </c>
      <c r="B10" s="392"/>
      <c r="C10" s="392"/>
      <c r="D10" s="392"/>
      <c r="E10" s="393"/>
      <c r="F10" s="393"/>
      <c r="G10" s="393"/>
      <c r="H10" s="393"/>
      <c r="I10" s="393"/>
      <c r="J10" s="394"/>
      <c r="K10" s="394"/>
      <c r="L10" s="394"/>
      <c r="M10" s="394"/>
      <c r="N10" s="394"/>
    </row>
    <row r="11" spans="1:14" ht="15" customHeight="1" x14ac:dyDescent="0.25">
      <c r="A11" s="392" t="s">
        <v>4722</v>
      </c>
      <c r="B11" s="392"/>
      <c r="C11" s="392"/>
      <c r="D11" s="392"/>
      <c r="E11" s="393"/>
      <c r="F11" s="393"/>
      <c r="G11" s="393"/>
      <c r="H11" s="393"/>
      <c r="I11" s="393"/>
      <c r="J11" s="394" t="s">
        <v>4723</v>
      </c>
      <c r="K11" s="394"/>
      <c r="L11" s="394"/>
      <c r="M11" s="394"/>
      <c r="N11" s="394"/>
    </row>
    <row r="12" spans="1:14" ht="15" customHeight="1" x14ac:dyDescent="0.25">
      <c r="A12" s="395" t="s">
        <v>4724</v>
      </c>
      <c r="B12" s="395"/>
      <c r="C12" s="395"/>
      <c r="D12" s="395"/>
      <c r="E12" s="393"/>
      <c r="F12" s="393"/>
      <c r="G12" s="393"/>
      <c r="H12" s="393"/>
      <c r="I12" s="393"/>
      <c r="J12" s="394" t="s">
        <v>4725</v>
      </c>
      <c r="K12" s="394"/>
      <c r="L12" s="394"/>
      <c r="M12" s="394"/>
      <c r="N12" s="394"/>
    </row>
    <row r="13" spans="1:14" ht="15" customHeight="1" x14ac:dyDescent="0.25">
      <c r="A13" s="395" t="s">
        <v>4726</v>
      </c>
      <c r="B13" s="395"/>
      <c r="C13" s="395"/>
      <c r="D13" s="395"/>
      <c r="E13" s="393"/>
      <c r="F13" s="393"/>
      <c r="G13" s="393"/>
      <c r="H13" s="393"/>
      <c r="I13" s="393"/>
      <c r="J13" s="394" t="s">
        <v>4727</v>
      </c>
      <c r="K13" s="394"/>
      <c r="L13" s="394"/>
      <c r="M13" s="394"/>
      <c r="N13" s="394"/>
    </row>
    <row r="14" spans="1:14" ht="15" customHeight="1" x14ac:dyDescent="0.25">
      <c r="A14" s="395" t="s">
        <v>4728</v>
      </c>
      <c r="B14" s="395"/>
      <c r="C14" s="395"/>
      <c r="D14" s="395"/>
      <c r="E14" s="393"/>
      <c r="F14" s="393"/>
      <c r="G14" s="393"/>
      <c r="H14" s="393"/>
      <c r="I14" s="393"/>
      <c r="J14" s="394" t="s">
        <v>4725</v>
      </c>
      <c r="K14" s="394"/>
      <c r="L14" s="394"/>
      <c r="M14" s="394"/>
      <c r="N14" s="394"/>
    </row>
    <row r="15" spans="1:14" ht="15" customHeight="1" x14ac:dyDescent="0.25">
      <c r="A15" s="392" t="s">
        <v>4729</v>
      </c>
      <c r="B15" s="392"/>
      <c r="C15" s="392"/>
      <c r="D15" s="392"/>
      <c r="E15" s="393"/>
      <c r="F15" s="393"/>
      <c r="G15" s="393"/>
      <c r="H15" s="393"/>
      <c r="I15" s="393"/>
      <c r="J15" s="394" t="s">
        <v>4730</v>
      </c>
      <c r="K15" s="394"/>
      <c r="L15" s="394"/>
      <c r="M15" s="394"/>
      <c r="N15" s="394"/>
    </row>
    <row r="16" spans="1:14" ht="15" customHeight="1" x14ac:dyDescent="0.25">
      <c r="A16" s="392" t="s">
        <v>4731</v>
      </c>
      <c r="B16" s="392"/>
      <c r="C16" s="392"/>
      <c r="D16" s="392"/>
      <c r="E16" s="393"/>
      <c r="F16" s="393"/>
      <c r="G16" s="393"/>
      <c r="H16" s="393"/>
      <c r="I16" s="393"/>
      <c r="J16" s="394"/>
      <c r="K16" s="394"/>
      <c r="L16" s="394"/>
      <c r="M16" s="394"/>
      <c r="N16" s="394"/>
    </row>
    <row r="17" spans="1:14" ht="15" customHeight="1" x14ac:dyDescent="0.25">
      <c r="A17" s="392" t="s">
        <v>4732</v>
      </c>
      <c r="B17" s="392"/>
      <c r="C17" s="392"/>
      <c r="D17" s="392"/>
      <c r="E17" s="393"/>
      <c r="F17" s="393"/>
      <c r="G17" s="393"/>
      <c r="H17" s="393"/>
      <c r="I17" s="393"/>
      <c r="J17" s="394"/>
      <c r="K17" s="394"/>
      <c r="L17" s="394"/>
      <c r="M17" s="394"/>
      <c r="N17" s="394"/>
    </row>
    <row r="18" spans="1:14" ht="15" customHeight="1" x14ac:dyDescent="0.25">
      <c r="A18" s="392" t="s">
        <v>4733</v>
      </c>
      <c r="B18" s="392"/>
      <c r="C18" s="392"/>
      <c r="D18" s="392"/>
      <c r="E18" s="393"/>
      <c r="F18" s="393"/>
      <c r="G18" s="393"/>
      <c r="H18" s="393"/>
      <c r="I18" s="393"/>
      <c r="J18" s="394"/>
      <c r="K18" s="394"/>
      <c r="L18" s="394"/>
      <c r="M18" s="394"/>
      <c r="N18" s="394"/>
    </row>
    <row r="19" spans="1:14" ht="15" customHeight="1" x14ac:dyDescent="0.25">
      <c r="A19" s="50"/>
      <c r="B19" s="50"/>
      <c r="C19" s="50"/>
      <c r="D19" s="50"/>
      <c r="E19" s="50"/>
      <c r="F19" s="50"/>
      <c r="G19" s="50"/>
      <c r="H19" s="50"/>
      <c r="I19" s="50"/>
      <c r="J19" s="50"/>
      <c r="K19" s="50"/>
      <c r="L19" s="50"/>
      <c r="M19" s="50"/>
      <c r="N19" s="50"/>
    </row>
    <row r="20" spans="1:14" ht="15" customHeight="1" x14ac:dyDescent="0.25">
      <c r="A20" s="391" t="s">
        <v>4734</v>
      </c>
      <c r="B20" s="391"/>
      <c r="C20" s="391"/>
      <c r="D20" s="391"/>
      <c r="E20" s="391"/>
      <c r="F20" s="391"/>
      <c r="G20" s="391"/>
      <c r="H20" s="391"/>
      <c r="I20" s="391"/>
      <c r="J20" s="391"/>
      <c r="K20" s="391"/>
      <c r="L20" s="391"/>
      <c r="M20" s="391"/>
      <c r="N20" s="391"/>
    </row>
    <row r="21" spans="1:14" ht="31.5" customHeight="1" x14ac:dyDescent="0.25">
      <c r="A21" s="232" t="s">
        <v>4735</v>
      </c>
      <c r="B21" s="232" t="s">
        <v>4736</v>
      </c>
      <c r="C21" s="232" t="s">
        <v>4737</v>
      </c>
      <c r="D21" s="232" t="s">
        <v>4738</v>
      </c>
      <c r="E21" s="232" t="s">
        <v>4739</v>
      </c>
      <c r="F21" s="232" t="s">
        <v>4740</v>
      </c>
      <c r="G21" s="232" t="s">
        <v>4741</v>
      </c>
      <c r="H21" s="232" t="s">
        <v>4742</v>
      </c>
      <c r="I21" s="232" t="s">
        <v>4743</v>
      </c>
      <c r="J21" s="232" t="s">
        <v>4744</v>
      </c>
      <c r="K21" s="232" t="s">
        <v>4745</v>
      </c>
      <c r="L21" s="232" t="s">
        <v>4746</v>
      </c>
      <c r="M21" s="232" t="s">
        <v>4747</v>
      </c>
      <c r="N21" s="232" t="s">
        <v>4748</v>
      </c>
    </row>
    <row r="22" spans="1:14" ht="19.5" customHeight="1" x14ac:dyDescent="0.25">
      <c r="A22" s="233">
        <v>1</v>
      </c>
      <c r="B22" s="234"/>
      <c r="C22" s="234"/>
      <c r="D22" s="234"/>
      <c r="E22" s="234"/>
      <c r="F22" s="234"/>
      <c r="G22" s="234"/>
      <c r="H22" s="234"/>
      <c r="I22" s="234"/>
      <c r="J22" s="234"/>
      <c r="K22" s="234"/>
      <c r="L22" s="234"/>
      <c r="M22" s="234"/>
      <c r="N22" s="234"/>
    </row>
    <row r="23" spans="1:14" ht="19.5" customHeight="1" x14ac:dyDescent="0.25">
      <c r="A23" s="233">
        <v>2</v>
      </c>
      <c r="B23" s="234"/>
      <c r="C23" s="234"/>
      <c r="D23" s="234"/>
      <c r="E23" s="234"/>
      <c r="F23" s="234"/>
      <c r="G23" s="234"/>
      <c r="H23" s="234"/>
      <c r="I23" s="234"/>
      <c r="J23" s="234"/>
      <c r="K23" s="234"/>
      <c r="L23" s="234"/>
      <c r="M23" s="234"/>
      <c r="N23" s="234"/>
    </row>
    <row r="24" spans="1:14" ht="19.5" customHeight="1" x14ac:dyDescent="0.25">
      <c r="A24" s="233">
        <v>3</v>
      </c>
      <c r="B24" s="234"/>
      <c r="C24" s="234"/>
      <c r="D24" s="234"/>
      <c r="E24" s="234"/>
      <c r="F24" s="234"/>
      <c r="G24" s="234"/>
      <c r="H24" s="234"/>
      <c r="I24" s="234"/>
      <c r="J24" s="234"/>
      <c r="K24" s="234"/>
      <c r="L24" s="234"/>
      <c r="M24" s="234"/>
      <c r="N24" s="234"/>
    </row>
    <row r="25" spans="1:14" ht="19.5" customHeight="1" x14ac:dyDescent="0.25">
      <c r="A25" s="233">
        <v>4</v>
      </c>
      <c r="B25" s="234"/>
      <c r="C25" s="234"/>
      <c r="D25" s="234"/>
      <c r="E25" s="234"/>
      <c r="F25" s="234"/>
      <c r="G25" s="234"/>
      <c r="H25" s="234"/>
      <c r="I25" s="234"/>
      <c r="J25" s="234"/>
      <c r="K25" s="234"/>
      <c r="L25" s="234"/>
      <c r="M25" s="234"/>
      <c r="N25" s="234"/>
    </row>
    <row r="26" spans="1:14" ht="19.5" customHeight="1" x14ac:dyDescent="0.25">
      <c r="A26" s="233">
        <v>5</v>
      </c>
      <c r="B26" s="234"/>
      <c r="C26" s="234"/>
      <c r="D26" s="234"/>
      <c r="E26" s="234"/>
      <c r="F26" s="234"/>
      <c r="G26" s="234"/>
      <c r="H26" s="234"/>
      <c r="I26" s="234"/>
      <c r="J26" s="234"/>
      <c r="K26" s="234"/>
      <c r="L26" s="234"/>
      <c r="M26" s="234"/>
      <c r="N26" s="234"/>
    </row>
    <row r="27" spans="1:14" ht="19.5" customHeight="1" x14ac:dyDescent="0.25">
      <c r="A27" s="233">
        <v>6</v>
      </c>
      <c r="B27" s="234"/>
      <c r="C27" s="234"/>
      <c r="D27" s="234"/>
      <c r="E27" s="234"/>
      <c r="F27" s="234"/>
      <c r="G27" s="234"/>
      <c r="H27" s="234"/>
      <c r="I27" s="234"/>
      <c r="J27" s="234"/>
      <c r="K27" s="234"/>
      <c r="L27" s="234"/>
      <c r="M27" s="234"/>
      <c r="N27" s="234"/>
    </row>
    <row r="28" spans="1:14" ht="19.5" customHeight="1" x14ac:dyDescent="0.25">
      <c r="A28" s="233">
        <v>7</v>
      </c>
      <c r="B28" s="234"/>
      <c r="C28" s="234"/>
      <c r="D28" s="234"/>
      <c r="E28" s="234"/>
      <c r="F28" s="234"/>
      <c r="G28" s="234"/>
      <c r="H28" s="234"/>
      <c r="I28" s="234"/>
      <c r="J28" s="234"/>
      <c r="K28" s="234"/>
      <c r="L28" s="234"/>
      <c r="M28" s="234"/>
      <c r="N28" s="234"/>
    </row>
    <row r="29" spans="1:14" ht="19.5" customHeight="1" x14ac:dyDescent="0.25">
      <c r="A29" s="233">
        <v>8</v>
      </c>
      <c r="B29" s="234"/>
      <c r="C29" s="234"/>
      <c r="D29" s="234"/>
      <c r="E29" s="234"/>
      <c r="F29" s="234"/>
      <c r="G29" s="234"/>
      <c r="H29" s="234"/>
      <c r="I29" s="234"/>
      <c r="J29" s="234"/>
      <c r="K29" s="234"/>
      <c r="L29" s="234"/>
      <c r="M29" s="234"/>
      <c r="N29" s="234"/>
    </row>
    <row r="30" spans="1:14" ht="19.5" customHeight="1" x14ac:dyDescent="0.25">
      <c r="A30" s="233">
        <v>9</v>
      </c>
      <c r="B30" s="234"/>
      <c r="C30" s="234"/>
      <c r="D30" s="234"/>
      <c r="E30" s="234"/>
      <c r="F30" s="234"/>
      <c r="G30" s="234"/>
      <c r="H30" s="234"/>
      <c r="I30" s="234"/>
      <c r="J30" s="234"/>
      <c r="K30" s="234"/>
      <c r="L30" s="234"/>
      <c r="M30" s="234"/>
      <c r="N30" s="234"/>
    </row>
    <row r="31" spans="1:14" ht="19.5" customHeight="1" x14ac:dyDescent="0.25">
      <c r="A31" s="233">
        <v>10</v>
      </c>
      <c r="B31" s="234"/>
      <c r="C31" s="234"/>
      <c r="D31" s="234"/>
      <c r="E31" s="234"/>
      <c r="F31" s="234"/>
      <c r="G31" s="234"/>
      <c r="H31" s="234"/>
      <c r="I31" s="234"/>
      <c r="J31" s="234"/>
      <c r="K31" s="234"/>
      <c r="L31" s="234"/>
      <c r="M31" s="234"/>
      <c r="N31" s="234"/>
    </row>
    <row r="32" spans="1:14" ht="19.5" customHeight="1" x14ac:dyDescent="0.25">
      <c r="A32" s="233">
        <v>11</v>
      </c>
      <c r="B32" s="234"/>
      <c r="C32" s="234"/>
      <c r="D32" s="234"/>
      <c r="E32" s="234"/>
      <c r="F32" s="234"/>
      <c r="G32" s="234"/>
      <c r="H32" s="234"/>
      <c r="I32" s="234"/>
      <c r="J32" s="234"/>
      <c r="K32" s="234"/>
      <c r="L32" s="234"/>
      <c r="M32" s="234"/>
      <c r="N32" s="234"/>
    </row>
    <row r="33" spans="1:14" ht="19.5" customHeight="1" x14ac:dyDescent="0.25">
      <c r="A33" s="233">
        <v>12</v>
      </c>
      <c r="B33" s="234"/>
      <c r="C33" s="234"/>
      <c r="D33" s="234"/>
      <c r="E33" s="234"/>
      <c r="F33" s="234"/>
      <c r="G33" s="234"/>
      <c r="H33" s="234"/>
      <c r="I33" s="234"/>
      <c r="J33" s="234"/>
      <c r="K33" s="234"/>
      <c r="L33" s="234"/>
      <c r="M33" s="234"/>
      <c r="N33" s="234"/>
    </row>
    <row r="34" spans="1:14" ht="19.5" customHeight="1" x14ac:dyDescent="0.25">
      <c r="A34" s="233">
        <v>13</v>
      </c>
      <c r="B34" s="234"/>
      <c r="C34" s="234"/>
      <c r="D34" s="234"/>
      <c r="E34" s="234"/>
      <c r="F34" s="234"/>
      <c r="G34" s="234"/>
      <c r="H34" s="234"/>
      <c r="I34" s="234"/>
      <c r="J34" s="234"/>
      <c r="K34" s="234"/>
      <c r="L34" s="234"/>
      <c r="M34" s="234"/>
      <c r="N34" s="234"/>
    </row>
    <row r="35" spans="1:14" ht="19.5" customHeight="1" x14ac:dyDescent="0.25">
      <c r="A35" s="233">
        <v>14</v>
      </c>
      <c r="B35" s="234"/>
      <c r="C35" s="234"/>
      <c r="D35" s="234"/>
      <c r="E35" s="234"/>
      <c r="F35" s="234"/>
      <c r="G35" s="234"/>
      <c r="H35" s="234"/>
      <c r="I35" s="234"/>
      <c r="J35" s="234"/>
      <c r="K35" s="234"/>
      <c r="L35" s="234"/>
      <c r="M35" s="234"/>
      <c r="N35" s="234"/>
    </row>
    <row r="36" spans="1:14" ht="19.5" customHeight="1" x14ac:dyDescent="0.25">
      <c r="A36" s="233">
        <v>15</v>
      </c>
      <c r="B36" s="234"/>
      <c r="C36" s="234"/>
      <c r="D36" s="234"/>
      <c r="E36" s="234"/>
      <c r="F36" s="234"/>
      <c r="G36" s="234"/>
      <c r="H36" s="234"/>
      <c r="I36" s="234"/>
      <c r="J36" s="234"/>
      <c r="K36" s="234"/>
      <c r="L36" s="234"/>
      <c r="M36" s="234"/>
      <c r="N36" s="234"/>
    </row>
    <row r="37" spans="1:14" ht="15" customHeight="1" x14ac:dyDescent="0.25">
      <c r="A37" s="50"/>
      <c r="B37" s="50"/>
      <c r="C37" s="50"/>
      <c r="D37" s="50"/>
      <c r="E37" s="50"/>
      <c r="F37" s="50"/>
      <c r="G37" s="50"/>
      <c r="H37" s="50"/>
      <c r="I37" s="50"/>
      <c r="J37" s="50"/>
      <c r="K37" s="50"/>
      <c r="L37" s="50"/>
      <c r="M37" s="50"/>
      <c r="N37" s="50"/>
    </row>
    <row r="38" spans="1:14" ht="15" customHeight="1" x14ac:dyDescent="0.25">
      <c r="A38" s="50"/>
      <c r="B38" s="50"/>
      <c r="C38" s="50"/>
      <c r="D38" s="50"/>
      <c r="E38" s="50"/>
      <c r="F38" s="50"/>
      <c r="G38" s="50"/>
      <c r="H38" s="50"/>
      <c r="I38" s="50"/>
      <c r="J38" s="50"/>
      <c r="K38" s="50"/>
      <c r="L38" s="50"/>
      <c r="M38" s="50"/>
      <c r="N38" s="50"/>
    </row>
    <row r="39" spans="1:14" ht="15" customHeight="1" x14ac:dyDescent="0.25">
      <c r="A39" s="391" t="s">
        <v>4749</v>
      </c>
      <c r="B39" s="391"/>
      <c r="C39" s="391"/>
      <c r="D39" s="391"/>
      <c r="E39" s="391"/>
      <c r="F39" s="391"/>
      <c r="G39" s="391"/>
      <c r="H39" s="391"/>
      <c r="I39" s="391"/>
      <c r="J39" s="391"/>
      <c r="K39" s="391"/>
      <c r="L39" s="391"/>
      <c r="M39" s="391"/>
      <c r="N39" s="391"/>
    </row>
    <row r="40" spans="1:14" ht="42" customHeight="1" x14ac:dyDescent="0.25">
      <c r="A40" s="396" t="s">
        <v>4750</v>
      </c>
      <c r="B40" s="396"/>
      <c r="C40" s="397" t="s">
        <v>4751</v>
      </c>
      <c r="D40" s="397"/>
      <c r="E40" s="397"/>
      <c r="F40" s="397"/>
      <c r="G40" s="397"/>
      <c r="H40" s="397"/>
      <c r="I40" s="397"/>
      <c r="J40" s="397"/>
      <c r="K40" s="397"/>
      <c r="L40" s="397"/>
      <c r="M40" s="397"/>
      <c r="N40" s="397"/>
    </row>
    <row r="41" spans="1:14" ht="42" customHeight="1" x14ac:dyDescent="0.25">
      <c r="A41" s="396" t="s">
        <v>4752</v>
      </c>
      <c r="B41" s="396"/>
      <c r="C41" s="397" t="s">
        <v>4753</v>
      </c>
      <c r="D41" s="397"/>
      <c r="E41" s="397"/>
      <c r="F41" s="397"/>
      <c r="G41" s="397"/>
      <c r="H41" s="397"/>
      <c r="I41" s="397"/>
      <c r="J41" s="397"/>
      <c r="K41" s="397"/>
      <c r="L41" s="397"/>
      <c r="M41" s="397"/>
      <c r="N41" s="397"/>
    </row>
    <row r="42" spans="1:14" ht="42" customHeight="1" x14ac:dyDescent="0.25">
      <c r="A42" s="396" t="s">
        <v>4754</v>
      </c>
      <c r="B42" s="396"/>
      <c r="C42" s="397" t="s">
        <v>4755</v>
      </c>
      <c r="D42" s="397"/>
      <c r="E42" s="397"/>
      <c r="F42" s="397"/>
      <c r="G42" s="397"/>
      <c r="H42" s="397"/>
      <c r="I42" s="397"/>
      <c r="J42" s="397"/>
      <c r="K42" s="397"/>
      <c r="L42" s="397"/>
      <c r="M42" s="397"/>
      <c r="N42" s="397"/>
    </row>
  </sheetData>
  <sheetProtection password="EBB1" sheet="1" formatColumns="0" formatRows="0" sort="0" autoFilter="0"/>
  <mergeCells count="53">
    <mergeCell ref="A40:B40"/>
    <mergeCell ref="C40:N40"/>
    <mergeCell ref="A41:B41"/>
    <mergeCell ref="C41:N41"/>
    <mergeCell ref="A42:B42"/>
    <mergeCell ref="C42:N42"/>
    <mergeCell ref="A18:D18"/>
    <mergeCell ref="E18:I18"/>
    <mergeCell ref="J18:N18"/>
    <mergeCell ref="A20:N20"/>
    <mergeCell ref="A39:N39"/>
    <mergeCell ref="A16:D16"/>
    <mergeCell ref="E16:I16"/>
    <mergeCell ref="J16:N16"/>
    <mergeCell ref="A17:D17"/>
    <mergeCell ref="E17:I17"/>
    <mergeCell ref="J17:N17"/>
    <mergeCell ref="A14:D14"/>
    <mergeCell ref="E14:I14"/>
    <mergeCell ref="J14:N14"/>
    <mergeCell ref="A15:D15"/>
    <mergeCell ref="E15:I15"/>
    <mergeCell ref="J15:N15"/>
    <mergeCell ref="A12:D12"/>
    <mergeCell ref="E12:I12"/>
    <mergeCell ref="J12:N12"/>
    <mergeCell ref="A13:D13"/>
    <mergeCell ref="E13:I13"/>
    <mergeCell ref="J13:N13"/>
    <mergeCell ref="A10:D10"/>
    <mergeCell ref="E10:I10"/>
    <mergeCell ref="J10:N10"/>
    <mergeCell ref="A11:D11"/>
    <mergeCell ref="E11:I11"/>
    <mergeCell ref="J11:N11"/>
    <mergeCell ref="A8:D8"/>
    <mergeCell ref="E8:I8"/>
    <mergeCell ref="J8:N8"/>
    <mergeCell ref="A9:D9"/>
    <mergeCell ref="E9:I9"/>
    <mergeCell ref="J9:N9"/>
    <mergeCell ref="A6:D6"/>
    <mergeCell ref="E6:I6"/>
    <mergeCell ref="J6:N6"/>
    <mergeCell ref="A7:D7"/>
    <mergeCell ref="E7:I7"/>
    <mergeCell ref="J7:N7"/>
    <mergeCell ref="A1:N1"/>
    <mergeCell ref="A2:N2"/>
    <mergeCell ref="A4:N4"/>
    <mergeCell ref="A5:D5"/>
    <mergeCell ref="E5:I5"/>
    <mergeCell ref="J5:N5"/>
  </mergeCells>
  <dataValidations count="2">
    <dataValidation type="list" sqref="D22:D36">
      <formula1>"Фаза 1 (аналгезія),Фаза 2 (регенерація),Фаза 3 (адаптація)"</formula1>
      <formula2>0</formula2>
    </dataValidation>
    <dataValidation type="list" sqref="G22:G36">
      <formula1>"так,ні"</formula1>
      <formula2>0</formula2>
    </dataValidation>
  </dataValidations>
  <pageMargins left="0.75" right="0.75" top="1" bottom="1" header="0.511811023622047" footer="0.511811023622047"/>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Normal="100" workbookViewId="0">
      <selection sqref="A1:M1"/>
    </sheetView>
  </sheetViews>
  <sheetFormatPr defaultColWidth="8.7109375" defaultRowHeight="15" x14ac:dyDescent="0.25"/>
  <cols>
    <col min="1" max="1" width="9" style="15" customWidth="1"/>
    <col min="2" max="3" width="12" style="15" customWidth="1"/>
    <col min="4" max="4" width="18" style="15" customWidth="1"/>
    <col min="5" max="5" width="14" style="15" customWidth="1"/>
    <col min="6" max="6" width="13" style="15" customWidth="1"/>
    <col min="7" max="7" width="10" style="15" customWidth="1"/>
    <col min="8" max="8" width="11" style="15" customWidth="1"/>
    <col min="9" max="9" width="13" style="15" customWidth="1"/>
    <col min="10" max="11" width="14" style="15" customWidth="1"/>
    <col min="12" max="12" width="13" style="15" customWidth="1"/>
    <col min="13" max="13" width="26" style="15" customWidth="1"/>
  </cols>
  <sheetData>
    <row r="1" spans="1:13" ht="21.75" customHeight="1" x14ac:dyDescent="0.25">
      <c r="A1" s="389" t="s">
        <v>4756</v>
      </c>
      <c r="B1" s="389"/>
      <c r="C1" s="389"/>
      <c r="D1" s="389"/>
      <c r="E1" s="389"/>
      <c r="F1" s="389"/>
      <c r="G1" s="389"/>
      <c r="H1" s="389"/>
      <c r="I1" s="389"/>
      <c r="J1" s="389"/>
      <c r="K1" s="389"/>
      <c r="L1" s="389"/>
      <c r="M1" s="389"/>
    </row>
    <row r="2" spans="1:13" ht="33.75" customHeight="1" x14ac:dyDescent="0.25">
      <c r="A2" s="390" t="s">
        <v>4757</v>
      </c>
      <c r="B2" s="390"/>
      <c r="C2" s="390"/>
      <c r="D2" s="390"/>
      <c r="E2" s="390"/>
      <c r="F2" s="390"/>
      <c r="G2" s="390"/>
      <c r="H2" s="390"/>
      <c r="I2" s="390"/>
      <c r="J2" s="390"/>
      <c r="K2" s="390"/>
      <c r="L2" s="390"/>
      <c r="M2" s="390"/>
    </row>
    <row r="3" spans="1:13" ht="15" customHeight="1" x14ac:dyDescent="0.25">
      <c r="A3" s="50"/>
      <c r="B3" s="50"/>
      <c r="C3" s="50"/>
      <c r="D3" s="50"/>
      <c r="E3" s="50"/>
      <c r="F3" s="50"/>
      <c r="G3" s="50"/>
      <c r="H3" s="50"/>
      <c r="I3" s="50"/>
      <c r="J3" s="50"/>
      <c r="K3" s="50"/>
      <c r="L3" s="50"/>
      <c r="M3" s="50"/>
    </row>
    <row r="4" spans="1:13" ht="31.5" customHeight="1" x14ac:dyDescent="0.25">
      <c r="A4" s="232" t="s">
        <v>4735</v>
      </c>
      <c r="B4" s="232" t="s">
        <v>4736</v>
      </c>
      <c r="C4" s="232" t="s">
        <v>4758</v>
      </c>
      <c r="D4" s="232" t="s">
        <v>4759</v>
      </c>
      <c r="E4" s="232" t="s">
        <v>4760</v>
      </c>
      <c r="F4" s="232" t="s">
        <v>4761</v>
      </c>
      <c r="G4" s="232" t="s">
        <v>4762</v>
      </c>
      <c r="H4" s="232" t="s">
        <v>4763</v>
      </c>
      <c r="I4" s="232" t="s">
        <v>4764</v>
      </c>
      <c r="J4" s="232" t="s">
        <v>4765</v>
      </c>
      <c r="K4" s="232" t="s">
        <v>4766</v>
      </c>
      <c r="L4" s="232" t="s">
        <v>4767</v>
      </c>
      <c r="M4" s="232" t="s">
        <v>4768</v>
      </c>
    </row>
    <row r="5" spans="1:13" ht="19.5" customHeight="1" x14ac:dyDescent="0.25">
      <c r="A5" s="235">
        <v>1</v>
      </c>
      <c r="B5" s="236"/>
      <c r="C5" s="237" t="s">
        <v>4769</v>
      </c>
      <c r="D5" s="238" t="s">
        <v>4770</v>
      </c>
      <c r="E5" s="236"/>
      <c r="F5" s="236"/>
      <c r="G5" s="235" t="s">
        <v>4771</v>
      </c>
      <c r="H5" s="236"/>
      <c r="I5" s="236"/>
      <c r="J5" s="236"/>
      <c r="K5" s="236"/>
      <c r="L5" s="236"/>
      <c r="M5" s="236"/>
    </row>
    <row r="6" spans="1:13" ht="19.5" customHeight="1" x14ac:dyDescent="0.25">
      <c r="A6" s="235">
        <v>1</v>
      </c>
      <c r="B6" s="236"/>
      <c r="C6" s="237" t="s">
        <v>4769</v>
      </c>
      <c r="D6" s="238" t="s">
        <v>4772</v>
      </c>
      <c r="E6" s="236"/>
      <c r="F6" s="236"/>
      <c r="G6" s="235" t="s">
        <v>4771</v>
      </c>
      <c r="H6" s="236"/>
      <c r="I6" s="236"/>
      <c r="J6" s="236"/>
      <c r="K6" s="236"/>
      <c r="L6" s="236"/>
      <c r="M6" s="236"/>
    </row>
    <row r="7" spans="1:13" ht="19.5" customHeight="1" x14ac:dyDescent="0.25">
      <c r="A7" s="239">
        <v>1</v>
      </c>
      <c r="B7" s="240"/>
      <c r="C7" s="241" t="s">
        <v>4773</v>
      </c>
      <c r="D7" s="242" t="s">
        <v>4774</v>
      </c>
      <c r="E7" s="240"/>
      <c r="F7" s="240"/>
      <c r="G7" s="239" t="s">
        <v>4775</v>
      </c>
      <c r="H7" s="240"/>
      <c r="I7" s="240"/>
      <c r="J7" s="240"/>
      <c r="K7" s="240"/>
      <c r="L7" s="240"/>
      <c r="M7" s="240"/>
    </row>
    <row r="8" spans="1:13" ht="19.5" customHeight="1" x14ac:dyDescent="0.25">
      <c r="A8" s="239">
        <v>1</v>
      </c>
      <c r="B8" s="240"/>
      <c r="C8" s="241" t="s">
        <v>4773</v>
      </c>
      <c r="D8" s="242" t="s">
        <v>4776</v>
      </c>
      <c r="E8" s="240"/>
      <c r="F8" s="240"/>
      <c r="G8" s="239" t="s">
        <v>4775</v>
      </c>
      <c r="H8" s="240"/>
      <c r="I8" s="240"/>
      <c r="J8" s="240"/>
      <c r="K8" s="240"/>
      <c r="L8" s="240"/>
      <c r="M8" s="240"/>
    </row>
    <row r="9" spans="1:13" ht="19.5" customHeight="1" x14ac:dyDescent="0.25">
      <c r="A9" s="243">
        <v>1</v>
      </c>
      <c r="B9" s="244"/>
      <c r="C9" s="245" t="s">
        <v>4777</v>
      </c>
      <c r="D9" s="246" t="s">
        <v>4778</v>
      </c>
      <c r="E9" s="244"/>
      <c r="F9" s="244"/>
      <c r="G9" s="243" t="s">
        <v>4779</v>
      </c>
      <c r="H9" s="244"/>
      <c r="I9" s="244"/>
      <c r="J9" s="244"/>
      <c r="K9" s="244"/>
      <c r="L9" s="244"/>
      <c r="M9" s="244"/>
    </row>
    <row r="10" spans="1:13" ht="19.5" customHeight="1" x14ac:dyDescent="0.25">
      <c r="A10" s="243">
        <v>1</v>
      </c>
      <c r="B10" s="244"/>
      <c r="C10" s="245" t="s">
        <v>4777</v>
      </c>
      <c r="D10" s="246" t="s">
        <v>4780</v>
      </c>
      <c r="E10" s="244"/>
      <c r="F10" s="244"/>
      <c r="G10" s="243" t="s">
        <v>4779</v>
      </c>
      <c r="H10" s="244"/>
      <c r="I10" s="244"/>
      <c r="J10" s="244"/>
      <c r="K10" s="244"/>
      <c r="L10" s="244"/>
      <c r="M10" s="244"/>
    </row>
    <row r="11" spans="1:13" ht="15" customHeight="1" x14ac:dyDescent="0.25">
      <c r="A11" s="234"/>
      <c r="B11" s="234"/>
      <c r="C11" s="234"/>
      <c r="D11" s="234"/>
      <c r="E11" s="234"/>
      <c r="F11" s="234"/>
      <c r="G11" s="234"/>
      <c r="H11" s="234"/>
      <c r="I11" s="234"/>
      <c r="J11" s="234"/>
      <c r="K11" s="234"/>
      <c r="L11" s="234"/>
      <c r="M11" s="234"/>
    </row>
    <row r="12" spans="1:13" ht="15" customHeight="1" x14ac:dyDescent="0.25">
      <c r="A12" s="234"/>
      <c r="B12" s="234"/>
      <c r="C12" s="234"/>
      <c r="D12" s="234"/>
      <c r="E12" s="234"/>
      <c r="F12" s="234"/>
      <c r="G12" s="234"/>
      <c r="H12" s="234"/>
      <c r="I12" s="234"/>
      <c r="J12" s="234"/>
      <c r="K12" s="234"/>
      <c r="L12" s="234"/>
      <c r="M12" s="234"/>
    </row>
    <row r="13" spans="1:13" ht="15" customHeight="1" x14ac:dyDescent="0.25">
      <c r="A13" s="234"/>
      <c r="B13" s="234"/>
      <c r="C13" s="234"/>
      <c r="D13" s="234"/>
      <c r="E13" s="234"/>
      <c r="F13" s="234"/>
      <c r="G13" s="234"/>
      <c r="H13" s="234"/>
      <c r="I13" s="234"/>
      <c r="J13" s="234"/>
      <c r="K13" s="234"/>
      <c r="L13" s="234"/>
      <c r="M13" s="234"/>
    </row>
    <row r="14" spans="1:13" ht="15" customHeight="1" x14ac:dyDescent="0.25">
      <c r="A14" s="234"/>
      <c r="B14" s="234"/>
      <c r="C14" s="234"/>
      <c r="D14" s="234"/>
      <c r="E14" s="234"/>
      <c r="F14" s="234"/>
      <c r="G14" s="234"/>
      <c r="H14" s="234"/>
      <c r="I14" s="234"/>
      <c r="J14" s="234"/>
      <c r="K14" s="234"/>
      <c r="L14" s="234"/>
      <c r="M14" s="234"/>
    </row>
    <row r="15" spans="1:13" ht="15" customHeight="1" x14ac:dyDescent="0.25">
      <c r="A15" s="234"/>
      <c r="B15" s="234"/>
      <c r="C15" s="234"/>
      <c r="D15" s="234"/>
      <c r="E15" s="234"/>
      <c r="F15" s="234"/>
      <c r="G15" s="234"/>
      <c r="H15" s="234"/>
      <c r="I15" s="234"/>
      <c r="J15" s="234"/>
      <c r="K15" s="234"/>
      <c r="L15" s="234"/>
      <c r="M15" s="234"/>
    </row>
    <row r="16" spans="1:13" ht="15" customHeight="1" x14ac:dyDescent="0.25">
      <c r="A16" s="234"/>
      <c r="B16" s="234"/>
      <c r="C16" s="234"/>
      <c r="D16" s="234"/>
      <c r="E16" s="234"/>
      <c r="F16" s="234"/>
      <c r="G16" s="234"/>
      <c r="H16" s="234"/>
      <c r="I16" s="234"/>
      <c r="J16" s="234"/>
      <c r="K16" s="234"/>
      <c r="L16" s="234"/>
      <c r="M16" s="234"/>
    </row>
    <row r="17" spans="1:13" ht="15" customHeight="1" x14ac:dyDescent="0.25">
      <c r="A17" s="234"/>
      <c r="B17" s="234"/>
      <c r="C17" s="234"/>
      <c r="D17" s="234"/>
      <c r="E17" s="234"/>
      <c r="F17" s="234"/>
      <c r="G17" s="234"/>
      <c r="H17" s="234"/>
      <c r="I17" s="234"/>
      <c r="J17" s="234"/>
      <c r="K17" s="234"/>
      <c r="L17" s="234"/>
      <c r="M17" s="234"/>
    </row>
    <row r="18" spans="1:13" ht="15" customHeight="1" x14ac:dyDescent="0.25">
      <c r="A18" s="234"/>
      <c r="B18" s="234"/>
      <c r="C18" s="234"/>
      <c r="D18" s="234"/>
      <c r="E18" s="234"/>
      <c r="F18" s="234"/>
      <c r="G18" s="234"/>
      <c r="H18" s="234"/>
      <c r="I18" s="234"/>
      <c r="J18" s="234"/>
      <c r="K18" s="234"/>
      <c r="L18" s="234"/>
      <c r="M18" s="234"/>
    </row>
    <row r="19" spans="1:13" ht="15" customHeight="1" x14ac:dyDescent="0.25">
      <c r="A19" s="234"/>
      <c r="B19" s="234"/>
      <c r="C19" s="234"/>
      <c r="D19" s="234"/>
      <c r="E19" s="234"/>
      <c r="F19" s="234"/>
      <c r="G19" s="234"/>
      <c r="H19" s="234"/>
      <c r="I19" s="234"/>
      <c r="J19" s="234"/>
      <c r="K19" s="234"/>
      <c r="L19" s="234"/>
      <c r="M19" s="234"/>
    </row>
    <row r="20" spans="1:13" ht="15" customHeight="1" x14ac:dyDescent="0.25">
      <c r="A20" s="234"/>
      <c r="B20" s="234"/>
      <c r="C20" s="234"/>
      <c r="D20" s="234"/>
      <c r="E20" s="234"/>
      <c r="F20" s="234"/>
      <c r="G20" s="234"/>
      <c r="H20" s="234"/>
      <c r="I20" s="234"/>
      <c r="J20" s="234"/>
      <c r="K20" s="234"/>
      <c r="L20" s="234"/>
      <c r="M20" s="234"/>
    </row>
    <row r="21" spans="1:13" ht="15" customHeight="1" x14ac:dyDescent="0.25">
      <c r="A21" s="234"/>
      <c r="B21" s="234"/>
      <c r="C21" s="234"/>
      <c r="D21" s="234"/>
      <c r="E21" s="234"/>
      <c r="F21" s="234"/>
      <c r="G21" s="234"/>
      <c r="H21" s="234"/>
      <c r="I21" s="234"/>
      <c r="J21" s="234"/>
      <c r="K21" s="234"/>
      <c r="L21" s="234"/>
      <c r="M21" s="234"/>
    </row>
    <row r="22" spans="1:13" ht="15" customHeight="1" x14ac:dyDescent="0.25">
      <c r="A22" s="234"/>
      <c r="B22" s="234"/>
      <c r="C22" s="234"/>
      <c r="D22" s="234"/>
      <c r="E22" s="234"/>
      <c r="F22" s="234"/>
      <c r="G22" s="234"/>
      <c r="H22" s="234"/>
      <c r="I22" s="234"/>
      <c r="J22" s="234"/>
      <c r="K22" s="234"/>
      <c r="L22" s="234"/>
      <c r="M22" s="234"/>
    </row>
    <row r="23" spans="1:13" ht="15" customHeight="1" x14ac:dyDescent="0.25">
      <c r="A23" s="50"/>
      <c r="B23" s="50"/>
      <c r="C23" s="50"/>
      <c r="D23" s="50"/>
      <c r="E23" s="50"/>
      <c r="F23" s="50"/>
      <c r="G23" s="50"/>
      <c r="H23" s="50"/>
      <c r="I23" s="50"/>
      <c r="J23" s="50"/>
      <c r="K23" s="50"/>
      <c r="L23" s="50"/>
      <c r="M23" s="50"/>
    </row>
    <row r="24" spans="1:13" ht="15" customHeight="1" x14ac:dyDescent="0.25">
      <c r="A24" s="391" t="s">
        <v>4749</v>
      </c>
      <c r="B24" s="391"/>
      <c r="C24" s="391"/>
      <c r="D24" s="391"/>
      <c r="E24" s="391"/>
      <c r="F24" s="391"/>
      <c r="G24" s="391"/>
      <c r="H24" s="391"/>
      <c r="I24" s="391"/>
      <c r="J24" s="391"/>
      <c r="K24" s="391"/>
      <c r="L24" s="391"/>
      <c r="M24" s="391"/>
    </row>
    <row r="25" spans="1:13" ht="42" customHeight="1" x14ac:dyDescent="0.25">
      <c r="A25" s="396" t="s">
        <v>4781</v>
      </c>
      <c r="B25" s="396"/>
      <c r="C25" s="397" t="s">
        <v>4782</v>
      </c>
      <c r="D25" s="397"/>
      <c r="E25" s="397"/>
      <c r="F25" s="397"/>
      <c r="G25" s="397"/>
      <c r="H25" s="397"/>
      <c r="I25" s="397"/>
      <c r="J25" s="397"/>
      <c r="K25" s="397"/>
      <c r="L25" s="397"/>
      <c r="M25" s="397"/>
    </row>
    <row r="26" spans="1:13" ht="42" customHeight="1" x14ac:dyDescent="0.25">
      <c r="A26" s="396" t="s">
        <v>4783</v>
      </c>
      <c r="B26" s="396"/>
      <c r="C26" s="397" t="s">
        <v>4784</v>
      </c>
      <c r="D26" s="397"/>
      <c r="E26" s="397"/>
      <c r="F26" s="397"/>
      <c r="G26" s="397"/>
      <c r="H26" s="397"/>
      <c r="I26" s="397"/>
      <c r="J26" s="397"/>
      <c r="K26" s="397"/>
      <c r="L26" s="397"/>
      <c r="M26" s="397"/>
    </row>
    <row r="27" spans="1:13" ht="42" customHeight="1" x14ac:dyDescent="0.25">
      <c r="A27" s="396" t="s">
        <v>4785</v>
      </c>
      <c r="B27" s="396"/>
      <c r="C27" s="397" t="s">
        <v>4786</v>
      </c>
      <c r="D27" s="397"/>
      <c r="E27" s="397"/>
      <c r="F27" s="397"/>
      <c r="G27" s="397"/>
      <c r="H27" s="397"/>
      <c r="I27" s="397"/>
      <c r="J27" s="397"/>
      <c r="K27" s="397"/>
      <c r="L27" s="397"/>
      <c r="M27" s="397"/>
    </row>
    <row r="28" spans="1:13" ht="42" customHeight="1" x14ac:dyDescent="0.25">
      <c r="A28" s="396" t="s">
        <v>4787</v>
      </c>
      <c r="B28" s="396"/>
      <c r="C28" s="397" t="s">
        <v>4788</v>
      </c>
      <c r="D28" s="397"/>
      <c r="E28" s="397"/>
      <c r="F28" s="397"/>
      <c r="G28" s="397"/>
      <c r="H28" s="397"/>
      <c r="I28" s="397"/>
      <c r="J28" s="397"/>
      <c r="K28" s="397"/>
      <c r="L28" s="397"/>
      <c r="M28" s="397"/>
    </row>
  </sheetData>
  <sheetProtection password="EBB1" sheet="1" formatColumns="0" formatRows="0" sort="0" autoFilter="0"/>
  <mergeCells count="11">
    <mergeCell ref="A26:B26"/>
    <mergeCell ref="C26:M26"/>
    <mergeCell ref="A27:B27"/>
    <mergeCell ref="C27:M27"/>
    <mergeCell ref="A28:B28"/>
    <mergeCell ref="C28:M28"/>
    <mergeCell ref="A1:M1"/>
    <mergeCell ref="A2:M2"/>
    <mergeCell ref="A24:M24"/>
    <mergeCell ref="A25:B25"/>
    <mergeCell ref="C25:M25"/>
  </mergeCells>
  <pageMargins left="0.75" right="0.75" top="1" bottom="1" header="0.511811023622047" footer="0.511811023622047"/>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zoomScaleNormal="100" workbookViewId="0">
      <selection sqref="A1:H1"/>
    </sheetView>
  </sheetViews>
  <sheetFormatPr defaultColWidth="8.7109375" defaultRowHeight="15" x14ac:dyDescent="0.25"/>
  <cols>
    <col min="1" max="1" width="5" style="15" customWidth="1"/>
    <col min="2" max="2" width="20" style="15" customWidth="1"/>
    <col min="3" max="3" width="52" style="15" customWidth="1"/>
    <col min="4" max="4" width="14" style="15" customWidth="1"/>
    <col min="5" max="5" width="13" style="15" customWidth="1"/>
    <col min="6" max="6" width="30" style="15" customWidth="1"/>
    <col min="7" max="8" width="14" style="15" customWidth="1"/>
  </cols>
  <sheetData>
    <row r="1" spans="1:8" ht="21.75" customHeight="1" x14ac:dyDescent="0.25">
      <c r="A1" s="389" t="s">
        <v>4789</v>
      </c>
      <c r="B1" s="389"/>
      <c r="C1" s="389"/>
      <c r="D1" s="389"/>
      <c r="E1" s="389"/>
      <c r="F1" s="389"/>
      <c r="G1" s="389"/>
      <c r="H1" s="389"/>
    </row>
    <row r="2" spans="1:8" ht="33.75" customHeight="1" x14ac:dyDescent="0.25">
      <c r="A2" s="390" t="s">
        <v>4790</v>
      </c>
      <c r="B2" s="390"/>
      <c r="C2" s="390"/>
      <c r="D2" s="390"/>
      <c r="E2" s="390"/>
      <c r="F2" s="390"/>
      <c r="G2" s="390"/>
      <c r="H2" s="390"/>
    </row>
    <row r="3" spans="1:8" ht="15" customHeight="1" x14ac:dyDescent="0.25">
      <c r="A3" s="50"/>
      <c r="B3" s="50"/>
      <c r="C3" s="50"/>
      <c r="D3" s="50"/>
      <c r="E3" s="50"/>
      <c r="F3" s="50"/>
      <c r="G3" s="50"/>
      <c r="H3" s="50"/>
    </row>
    <row r="4" spans="1:8" ht="31.5" customHeight="1" x14ac:dyDescent="0.25">
      <c r="A4" s="232" t="s">
        <v>927</v>
      </c>
      <c r="B4" s="232" t="s">
        <v>4791</v>
      </c>
      <c r="C4" s="232" t="s">
        <v>4792</v>
      </c>
      <c r="D4" s="232" t="s">
        <v>5</v>
      </c>
      <c r="E4" s="232" t="s">
        <v>4793</v>
      </c>
      <c r="F4" s="232" t="s">
        <v>4794</v>
      </c>
      <c r="G4" s="232" t="s">
        <v>4795</v>
      </c>
      <c r="H4" s="232" t="s">
        <v>4796</v>
      </c>
    </row>
    <row r="5" spans="1:8" ht="25.5" customHeight="1" x14ac:dyDescent="0.25">
      <c r="A5" s="247">
        <v>1</v>
      </c>
      <c r="B5" s="248" t="s">
        <v>4797</v>
      </c>
      <c r="C5" s="249" t="s">
        <v>4798</v>
      </c>
      <c r="D5" s="250" t="s">
        <v>4799</v>
      </c>
      <c r="E5" s="251"/>
      <c r="F5" s="252" t="s">
        <v>4800</v>
      </c>
      <c r="G5" s="251"/>
      <c r="H5" s="251"/>
    </row>
    <row r="6" spans="1:8" ht="25.5" customHeight="1" x14ac:dyDescent="0.25">
      <c r="A6" s="247">
        <v>2</v>
      </c>
      <c r="B6" s="248" t="s">
        <v>4797</v>
      </c>
      <c r="C6" s="249" t="s">
        <v>4801</v>
      </c>
      <c r="D6" s="250" t="s">
        <v>4799</v>
      </c>
      <c r="E6" s="251"/>
      <c r="F6" s="252" t="s">
        <v>4802</v>
      </c>
      <c r="G6" s="251"/>
      <c r="H6" s="251"/>
    </row>
    <row r="7" spans="1:8" ht="25.5" customHeight="1" x14ac:dyDescent="0.25">
      <c r="A7" s="247">
        <v>3</v>
      </c>
      <c r="B7" s="248" t="s">
        <v>4797</v>
      </c>
      <c r="C7" s="249" t="s">
        <v>4803</v>
      </c>
      <c r="D7" s="250" t="s">
        <v>4799</v>
      </c>
      <c r="E7" s="251"/>
      <c r="F7" s="252" t="s">
        <v>4800</v>
      </c>
      <c r="G7" s="251"/>
      <c r="H7" s="251"/>
    </row>
    <row r="8" spans="1:8" ht="25.5" customHeight="1" x14ac:dyDescent="0.25">
      <c r="A8" s="247">
        <v>4</v>
      </c>
      <c r="B8" s="248" t="s">
        <v>4797</v>
      </c>
      <c r="C8" s="249" t="s">
        <v>4804</v>
      </c>
      <c r="D8" s="250" t="s">
        <v>4799</v>
      </c>
      <c r="E8" s="251"/>
      <c r="F8" s="252" t="s">
        <v>4805</v>
      </c>
      <c r="G8" s="251"/>
      <c r="H8" s="251"/>
    </row>
    <row r="9" spans="1:8" ht="25.5" customHeight="1" x14ac:dyDescent="0.25">
      <c r="A9" s="247">
        <v>5</v>
      </c>
      <c r="B9" s="248" t="s">
        <v>4797</v>
      </c>
      <c r="C9" s="249" t="s">
        <v>4806</v>
      </c>
      <c r="D9" s="250" t="s">
        <v>4799</v>
      </c>
      <c r="E9" s="251"/>
      <c r="F9" s="252" t="s">
        <v>4800</v>
      </c>
      <c r="G9" s="251"/>
      <c r="H9" s="251"/>
    </row>
    <row r="10" spans="1:8" ht="25.5" customHeight="1" x14ac:dyDescent="0.25">
      <c r="A10" s="247">
        <v>6</v>
      </c>
      <c r="B10" s="248" t="s">
        <v>4797</v>
      </c>
      <c r="C10" s="249" t="s">
        <v>4807</v>
      </c>
      <c r="D10" s="250" t="s">
        <v>4799</v>
      </c>
      <c r="E10" s="251"/>
      <c r="F10" s="252" t="s">
        <v>4808</v>
      </c>
      <c r="G10" s="251"/>
      <c r="H10" s="251"/>
    </row>
    <row r="11" spans="1:8" ht="25.5" customHeight="1" x14ac:dyDescent="0.25">
      <c r="A11" s="253">
        <v>7</v>
      </c>
      <c r="B11" s="254" t="s">
        <v>4809</v>
      </c>
      <c r="C11" s="255" t="s">
        <v>4810</v>
      </c>
      <c r="D11" s="256" t="s">
        <v>4811</v>
      </c>
      <c r="E11" s="251"/>
      <c r="F11" s="257" t="s">
        <v>4812</v>
      </c>
      <c r="G11" s="251"/>
      <c r="H11" s="251"/>
    </row>
    <row r="12" spans="1:8" ht="25.5" customHeight="1" x14ac:dyDescent="0.25">
      <c r="A12" s="253">
        <v>8</v>
      </c>
      <c r="B12" s="254" t="s">
        <v>4809</v>
      </c>
      <c r="C12" s="255" t="s">
        <v>4728</v>
      </c>
      <c r="D12" s="256" t="s">
        <v>4811</v>
      </c>
      <c r="E12" s="251"/>
      <c r="F12" s="257" t="s">
        <v>4813</v>
      </c>
      <c r="G12" s="251"/>
      <c r="H12" s="251"/>
    </row>
    <row r="13" spans="1:8" ht="25.5" customHeight="1" x14ac:dyDescent="0.25">
      <c r="A13" s="253">
        <v>9</v>
      </c>
      <c r="B13" s="254" t="s">
        <v>4809</v>
      </c>
      <c r="C13" s="255" t="s">
        <v>4814</v>
      </c>
      <c r="D13" s="256" t="s">
        <v>4811</v>
      </c>
      <c r="E13" s="251"/>
      <c r="F13" s="257" t="s">
        <v>4815</v>
      </c>
      <c r="G13" s="251"/>
      <c r="H13" s="251"/>
    </row>
    <row r="14" spans="1:8" ht="25.5" customHeight="1" x14ac:dyDescent="0.25">
      <c r="A14" s="253">
        <v>10</v>
      </c>
      <c r="B14" s="254" t="s">
        <v>4809</v>
      </c>
      <c r="C14" s="255" t="s">
        <v>4816</v>
      </c>
      <c r="D14" s="256" t="s">
        <v>4811</v>
      </c>
      <c r="E14" s="251"/>
      <c r="F14" s="257" t="s">
        <v>4817</v>
      </c>
      <c r="G14" s="251"/>
      <c r="H14" s="251"/>
    </row>
    <row r="15" spans="1:8" ht="25.5" customHeight="1" x14ac:dyDescent="0.25">
      <c r="A15" s="253">
        <v>11</v>
      </c>
      <c r="B15" s="254" t="s">
        <v>4809</v>
      </c>
      <c r="C15" s="255" t="s">
        <v>4818</v>
      </c>
      <c r="D15" s="256" t="s">
        <v>4811</v>
      </c>
      <c r="E15" s="251"/>
      <c r="F15" s="257" t="s">
        <v>4819</v>
      </c>
      <c r="G15" s="251"/>
      <c r="H15" s="251"/>
    </row>
    <row r="16" spans="1:8" ht="25.5" customHeight="1" x14ac:dyDescent="0.25">
      <c r="A16" s="253">
        <v>12</v>
      </c>
      <c r="B16" s="254" t="s">
        <v>4809</v>
      </c>
      <c r="C16" s="255" t="s">
        <v>4820</v>
      </c>
      <c r="D16" s="256" t="s">
        <v>4811</v>
      </c>
      <c r="E16" s="251"/>
      <c r="F16" s="257" t="s">
        <v>4821</v>
      </c>
      <c r="G16" s="251"/>
      <c r="H16" s="251"/>
    </row>
    <row r="17" spans="1:8" ht="25.5" customHeight="1" x14ac:dyDescent="0.25">
      <c r="A17" s="235">
        <v>13</v>
      </c>
      <c r="B17" s="237" t="s">
        <v>4822</v>
      </c>
      <c r="C17" s="238" t="s">
        <v>4823</v>
      </c>
      <c r="D17" s="258" t="s">
        <v>4799</v>
      </c>
      <c r="E17" s="251"/>
      <c r="F17" s="259" t="s">
        <v>4824</v>
      </c>
      <c r="G17" s="251"/>
      <c r="H17" s="251"/>
    </row>
    <row r="18" spans="1:8" ht="25.5" customHeight="1" x14ac:dyDescent="0.25">
      <c r="A18" s="235">
        <v>14</v>
      </c>
      <c r="B18" s="237" t="s">
        <v>4822</v>
      </c>
      <c r="C18" s="238" t="s">
        <v>4825</v>
      </c>
      <c r="D18" s="258" t="s">
        <v>4799</v>
      </c>
      <c r="E18" s="251"/>
      <c r="F18" s="259" t="s">
        <v>4826</v>
      </c>
      <c r="G18" s="251"/>
      <c r="H18" s="251"/>
    </row>
    <row r="19" spans="1:8" ht="25.5" customHeight="1" x14ac:dyDescent="0.25">
      <c r="A19" s="235">
        <v>15</v>
      </c>
      <c r="B19" s="237" t="s">
        <v>4822</v>
      </c>
      <c r="C19" s="238" t="s">
        <v>4827</v>
      </c>
      <c r="D19" s="260" t="s">
        <v>4811</v>
      </c>
      <c r="E19" s="251"/>
      <c r="F19" s="259" t="s">
        <v>4828</v>
      </c>
      <c r="G19" s="251"/>
      <c r="H19" s="251"/>
    </row>
    <row r="20" spans="1:8" ht="25.5" customHeight="1" x14ac:dyDescent="0.25">
      <c r="A20" s="235">
        <v>16</v>
      </c>
      <c r="B20" s="237" t="s">
        <v>4822</v>
      </c>
      <c r="C20" s="238" t="s">
        <v>4829</v>
      </c>
      <c r="D20" s="258" t="s">
        <v>4799</v>
      </c>
      <c r="E20" s="251"/>
      <c r="F20" s="259" t="s">
        <v>4830</v>
      </c>
      <c r="G20" s="251"/>
      <c r="H20" s="251"/>
    </row>
    <row r="21" spans="1:8" ht="25.5" customHeight="1" x14ac:dyDescent="0.25">
      <c r="A21" s="261">
        <v>17</v>
      </c>
      <c r="B21" s="262" t="s">
        <v>4831</v>
      </c>
      <c r="C21" s="263" t="s">
        <v>4832</v>
      </c>
      <c r="D21" s="264" t="s">
        <v>4799</v>
      </c>
      <c r="E21" s="251"/>
      <c r="F21" s="265" t="s">
        <v>4833</v>
      </c>
      <c r="G21" s="251"/>
      <c r="H21" s="251"/>
    </row>
    <row r="22" spans="1:8" ht="25.5" customHeight="1" x14ac:dyDescent="0.25">
      <c r="A22" s="261">
        <v>18</v>
      </c>
      <c r="B22" s="262" t="s">
        <v>4831</v>
      </c>
      <c r="C22" s="263" t="s">
        <v>4834</v>
      </c>
      <c r="D22" s="266" t="s">
        <v>4811</v>
      </c>
      <c r="E22" s="251"/>
      <c r="F22" s="265" t="s">
        <v>4835</v>
      </c>
      <c r="G22" s="251"/>
      <c r="H22" s="251"/>
    </row>
    <row r="23" spans="1:8" ht="25.5" customHeight="1" x14ac:dyDescent="0.25">
      <c r="A23" s="261">
        <v>19</v>
      </c>
      <c r="B23" s="262" t="s">
        <v>4831</v>
      </c>
      <c r="C23" s="263" t="s">
        <v>4836</v>
      </c>
      <c r="D23" s="266" t="s">
        <v>4811</v>
      </c>
      <c r="E23" s="251"/>
      <c r="F23" s="265" t="s">
        <v>4837</v>
      </c>
      <c r="G23" s="251"/>
      <c r="H23" s="251"/>
    </row>
    <row r="24" spans="1:8" ht="15" customHeight="1" x14ac:dyDescent="0.25">
      <c r="A24" s="50"/>
      <c r="B24" s="50"/>
      <c r="C24" s="50"/>
      <c r="D24" s="50"/>
      <c r="E24" s="50"/>
      <c r="F24" s="50"/>
      <c r="G24" s="50"/>
      <c r="H24" s="50"/>
    </row>
    <row r="25" spans="1:8" ht="15" customHeight="1" x14ac:dyDescent="0.25">
      <c r="A25" s="391" t="s">
        <v>4749</v>
      </c>
      <c r="B25" s="391"/>
      <c r="C25" s="391"/>
      <c r="D25" s="391"/>
      <c r="E25" s="391"/>
      <c r="F25" s="391"/>
      <c r="G25" s="391"/>
      <c r="H25" s="391"/>
    </row>
    <row r="26" spans="1:8" ht="42" customHeight="1" x14ac:dyDescent="0.25">
      <c r="A26" s="396" t="s">
        <v>4838</v>
      </c>
      <c r="B26" s="396"/>
      <c r="C26" s="397" t="s">
        <v>4839</v>
      </c>
      <c r="D26" s="397"/>
      <c r="E26" s="397"/>
      <c r="F26" s="397"/>
      <c r="G26" s="397"/>
      <c r="H26" s="397"/>
    </row>
    <row r="27" spans="1:8" ht="42" customHeight="1" x14ac:dyDescent="0.25">
      <c r="A27" s="396" t="s">
        <v>4840</v>
      </c>
      <c r="B27" s="396"/>
      <c r="C27" s="397" t="s">
        <v>4841</v>
      </c>
      <c r="D27" s="397"/>
      <c r="E27" s="397"/>
      <c r="F27" s="397"/>
      <c r="G27" s="397"/>
      <c r="H27" s="397"/>
    </row>
    <row r="28" spans="1:8" ht="42" customHeight="1" x14ac:dyDescent="0.25">
      <c r="A28" s="396" t="s">
        <v>4842</v>
      </c>
      <c r="B28" s="396"/>
      <c r="C28" s="397" t="s">
        <v>4843</v>
      </c>
      <c r="D28" s="397"/>
      <c r="E28" s="397"/>
      <c r="F28" s="397"/>
      <c r="G28" s="397"/>
      <c r="H28" s="397"/>
    </row>
  </sheetData>
  <sheetProtection password="EBB1" sheet="1" formatColumns="0" formatRows="0" sort="0" autoFilter="0"/>
  <mergeCells count="9">
    <mergeCell ref="A27:B27"/>
    <mergeCell ref="C27:H27"/>
    <mergeCell ref="A28:B28"/>
    <mergeCell ref="C28:H28"/>
    <mergeCell ref="A1:H1"/>
    <mergeCell ref="A2:H2"/>
    <mergeCell ref="A25:H25"/>
    <mergeCell ref="A26:B26"/>
    <mergeCell ref="C26:H26"/>
  </mergeCells>
  <dataValidations count="1">
    <dataValidation type="list" sqref="E5:E23">
      <formula1>"так,ні,н/з"</formula1>
      <formula2>0</formula2>
    </dataValidation>
  </dataValidations>
  <pageMargins left="0.75" right="0.75" top="1" bottom="1" header="0.511811023622047" footer="0.511811023622047"/>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Normal="100" workbookViewId="0">
      <selection sqref="A1:L1"/>
    </sheetView>
  </sheetViews>
  <sheetFormatPr defaultColWidth="8.7109375" defaultRowHeight="15" x14ac:dyDescent="0.25"/>
  <cols>
    <col min="1" max="1" width="5" style="15" customWidth="1"/>
    <col min="2" max="2" width="15" style="15" customWidth="1"/>
    <col min="3" max="3" width="13" style="15" customWidth="1"/>
    <col min="4" max="4" width="9" style="15" customWidth="1"/>
    <col min="5" max="5" width="34" style="15" customWidth="1"/>
    <col min="6" max="6" width="14" style="15" customWidth="1"/>
    <col min="7" max="7" width="18" style="15" customWidth="1"/>
    <col min="8" max="8" width="26" style="15" customWidth="1"/>
    <col min="9" max="9" width="18" style="15" customWidth="1"/>
    <col min="10" max="10" width="12" style="15" customWidth="1"/>
    <col min="11" max="11" width="18" style="15" customWidth="1"/>
    <col min="12" max="12" width="12" style="15" customWidth="1"/>
  </cols>
  <sheetData>
    <row r="1" spans="1:12" ht="21.75" customHeight="1" x14ac:dyDescent="0.25">
      <c r="A1" s="389" t="s">
        <v>4844</v>
      </c>
      <c r="B1" s="389"/>
      <c r="C1" s="389"/>
      <c r="D1" s="389"/>
      <c r="E1" s="389"/>
      <c r="F1" s="389"/>
      <c r="G1" s="389"/>
      <c r="H1" s="389"/>
      <c r="I1" s="389"/>
      <c r="J1" s="389"/>
      <c r="K1" s="389"/>
      <c r="L1" s="389"/>
    </row>
    <row r="2" spans="1:12" ht="33.75" customHeight="1" x14ac:dyDescent="0.25">
      <c r="A2" s="390" t="s">
        <v>4845</v>
      </c>
      <c r="B2" s="390"/>
      <c r="C2" s="390"/>
      <c r="D2" s="390"/>
      <c r="E2" s="390"/>
      <c r="F2" s="390"/>
      <c r="G2" s="390"/>
      <c r="H2" s="390"/>
      <c r="I2" s="390"/>
      <c r="J2" s="390"/>
      <c r="K2" s="390"/>
      <c r="L2" s="390"/>
    </row>
    <row r="3" spans="1:12" ht="15" customHeight="1" x14ac:dyDescent="0.25">
      <c r="A3" s="50"/>
      <c r="B3" s="50"/>
      <c r="C3" s="50"/>
      <c r="D3" s="50"/>
      <c r="E3" s="50"/>
      <c r="F3" s="50"/>
      <c r="G3" s="50"/>
      <c r="H3" s="50"/>
      <c r="I3" s="50"/>
      <c r="J3" s="50"/>
      <c r="K3" s="50"/>
      <c r="L3" s="50"/>
    </row>
    <row r="4" spans="1:12" ht="31.5" customHeight="1" x14ac:dyDescent="0.25">
      <c r="A4" s="232" t="s">
        <v>927</v>
      </c>
      <c r="B4" s="232" t="s">
        <v>4846</v>
      </c>
      <c r="C4" s="232" t="s">
        <v>4847</v>
      </c>
      <c r="D4" s="232" t="s">
        <v>4735</v>
      </c>
      <c r="E4" s="232" t="s">
        <v>4848</v>
      </c>
      <c r="F4" s="232" t="s">
        <v>4849</v>
      </c>
      <c r="G4" s="232" t="s">
        <v>4850</v>
      </c>
      <c r="H4" s="232" t="s">
        <v>4851</v>
      </c>
      <c r="I4" s="232" t="s">
        <v>4852</v>
      </c>
      <c r="J4" s="232" t="s">
        <v>4853</v>
      </c>
      <c r="K4" s="232" t="s">
        <v>4854</v>
      </c>
      <c r="L4" s="232" t="s">
        <v>4747</v>
      </c>
    </row>
    <row r="5" spans="1:12" ht="19.5" customHeight="1" x14ac:dyDescent="0.25">
      <c r="A5" s="233">
        <v>1</v>
      </c>
      <c r="B5" s="234"/>
      <c r="C5" s="234"/>
      <c r="D5" s="234"/>
      <c r="E5" s="234"/>
      <c r="F5" s="234"/>
      <c r="G5" s="234"/>
      <c r="H5" s="234"/>
      <c r="I5" s="234"/>
      <c r="J5" s="234"/>
      <c r="K5" s="234"/>
      <c r="L5" s="234"/>
    </row>
    <row r="6" spans="1:12" ht="19.5" customHeight="1" x14ac:dyDescent="0.25">
      <c r="A6" s="233">
        <v>2</v>
      </c>
      <c r="B6" s="234"/>
      <c r="C6" s="234"/>
      <c r="D6" s="234"/>
      <c r="E6" s="234"/>
      <c r="F6" s="234"/>
      <c r="G6" s="234"/>
      <c r="H6" s="234"/>
      <c r="I6" s="234"/>
      <c r="J6" s="234"/>
      <c r="K6" s="234"/>
      <c r="L6" s="234"/>
    </row>
    <row r="7" spans="1:12" ht="19.5" customHeight="1" x14ac:dyDescent="0.25">
      <c r="A7" s="233">
        <v>3</v>
      </c>
      <c r="B7" s="234"/>
      <c r="C7" s="234"/>
      <c r="D7" s="234"/>
      <c r="E7" s="234"/>
      <c r="F7" s="234"/>
      <c r="G7" s="234"/>
      <c r="H7" s="234"/>
      <c r="I7" s="234"/>
      <c r="J7" s="234"/>
      <c r="K7" s="234"/>
      <c r="L7" s="234"/>
    </row>
    <row r="8" spans="1:12" ht="19.5" customHeight="1" x14ac:dyDescent="0.25">
      <c r="A8" s="233">
        <v>4</v>
      </c>
      <c r="B8" s="234"/>
      <c r="C8" s="234"/>
      <c r="D8" s="234"/>
      <c r="E8" s="234"/>
      <c r="F8" s="234"/>
      <c r="G8" s="234"/>
      <c r="H8" s="234"/>
      <c r="I8" s="234"/>
      <c r="J8" s="234"/>
      <c r="K8" s="234"/>
      <c r="L8" s="234"/>
    </row>
    <row r="9" spans="1:12" ht="19.5" customHeight="1" x14ac:dyDescent="0.25">
      <c r="A9" s="233">
        <v>5</v>
      </c>
      <c r="B9" s="234"/>
      <c r="C9" s="234"/>
      <c r="D9" s="234"/>
      <c r="E9" s="234"/>
      <c r="F9" s="234"/>
      <c r="G9" s="234"/>
      <c r="H9" s="234"/>
      <c r="I9" s="234"/>
      <c r="J9" s="234"/>
      <c r="K9" s="234"/>
      <c r="L9" s="234"/>
    </row>
    <row r="10" spans="1:12" ht="19.5" customHeight="1" x14ac:dyDescent="0.25">
      <c r="A10" s="233">
        <v>6</v>
      </c>
      <c r="B10" s="234"/>
      <c r="C10" s="234"/>
      <c r="D10" s="234"/>
      <c r="E10" s="234"/>
      <c r="F10" s="234"/>
      <c r="G10" s="234"/>
      <c r="H10" s="234"/>
      <c r="I10" s="234"/>
      <c r="J10" s="234"/>
      <c r="K10" s="234"/>
      <c r="L10" s="234"/>
    </row>
    <row r="11" spans="1:12" ht="19.5" customHeight="1" x14ac:dyDescent="0.25">
      <c r="A11" s="233">
        <v>7</v>
      </c>
      <c r="B11" s="234"/>
      <c r="C11" s="234"/>
      <c r="D11" s="234"/>
      <c r="E11" s="234"/>
      <c r="F11" s="234"/>
      <c r="G11" s="234"/>
      <c r="H11" s="234"/>
      <c r="I11" s="234"/>
      <c r="J11" s="234"/>
      <c r="K11" s="234"/>
      <c r="L11" s="234"/>
    </row>
    <row r="12" spans="1:12" ht="19.5" customHeight="1" x14ac:dyDescent="0.25">
      <c r="A12" s="233">
        <v>8</v>
      </c>
      <c r="B12" s="234"/>
      <c r="C12" s="234"/>
      <c r="D12" s="234"/>
      <c r="E12" s="234"/>
      <c r="F12" s="234"/>
      <c r="G12" s="234"/>
      <c r="H12" s="234"/>
      <c r="I12" s="234"/>
      <c r="J12" s="234"/>
      <c r="K12" s="234"/>
      <c r="L12" s="234"/>
    </row>
    <row r="13" spans="1:12" ht="19.5" customHeight="1" x14ac:dyDescent="0.25">
      <c r="A13" s="233">
        <v>9</v>
      </c>
      <c r="B13" s="234"/>
      <c r="C13" s="234"/>
      <c r="D13" s="234"/>
      <c r="E13" s="234"/>
      <c r="F13" s="234"/>
      <c r="G13" s="234"/>
      <c r="H13" s="234"/>
      <c r="I13" s="234"/>
      <c r="J13" s="234"/>
      <c r="K13" s="234"/>
      <c r="L13" s="234"/>
    </row>
    <row r="14" spans="1:12" ht="19.5" customHeight="1" x14ac:dyDescent="0.25">
      <c r="A14" s="233">
        <v>10</v>
      </c>
      <c r="B14" s="234"/>
      <c r="C14" s="234"/>
      <c r="D14" s="234"/>
      <c r="E14" s="234"/>
      <c r="F14" s="234"/>
      <c r="G14" s="234"/>
      <c r="H14" s="234"/>
      <c r="I14" s="234"/>
      <c r="J14" s="234"/>
      <c r="K14" s="234"/>
      <c r="L14" s="234"/>
    </row>
    <row r="15" spans="1:12" ht="19.5" customHeight="1" x14ac:dyDescent="0.25">
      <c r="A15" s="233">
        <v>11</v>
      </c>
      <c r="B15" s="234"/>
      <c r="C15" s="234"/>
      <c r="D15" s="234"/>
      <c r="E15" s="234"/>
      <c r="F15" s="234"/>
      <c r="G15" s="234"/>
      <c r="H15" s="234"/>
      <c r="I15" s="234"/>
      <c r="J15" s="234"/>
      <c r="K15" s="234"/>
      <c r="L15" s="234"/>
    </row>
    <row r="16" spans="1:12" ht="19.5" customHeight="1" x14ac:dyDescent="0.25">
      <c r="A16" s="233">
        <v>12</v>
      </c>
      <c r="B16" s="234"/>
      <c r="C16" s="234"/>
      <c r="D16" s="234"/>
      <c r="E16" s="234"/>
      <c r="F16" s="234"/>
      <c r="G16" s="234"/>
      <c r="H16" s="234"/>
      <c r="I16" s="234"/>
      <c r="J16" s="234"/>
      <c r="K16" s="234"/>
      <c r="L16" s="234"/>
    </row>
    <row r="17" spans="1:12" ht="19.5" customHeight="1" x14ac:dyDescent="0.25">
      <c r="A17" s="233">
        <v>13</v>
      </c>
      <c r="B17" s="234"/>
      <c r="C17" s="234"/>
      <c r="D17" s="234"/>
      <c r="E17" s="234"/>
      <c r="F17" s="234"/>
      <c r="G17" s="234"/>
      <c r="H17" s="234"/>
      <c r="I17" s="234"/>
      <c r="J17" s="234"/>
      <c r="K17" s="234"/>
      <c r="L17" s="234"/>
    </row>
    <row r="18" spans="1:12" ht="19.5" customHeight="1" x14ac:dyDescent="0.25">
      <c r="A18" s="233">
        <v>14</v>
      </c>
      <c r="B18" s="234"/>
      <c r="C18" s="234"/>
      <c r="D18" s="234"/>
      <c r="E18" s="234"/>
      <c r="F18" s="234"/>
      <c r="G18" s="234"/>
      <c r="H18" s="234"/>
      <c r="I18" s="234"/>
      <c r="J18" s="234"/>
      <c r="K18" s="234"/>
      <c r="L18" s="234"/>
    </row>
    <row r="19" spans="1:12" ht="19.5" customHeight="1" x14ac:dyDescent="0.25">
      <c r="A19" s="233">
        <v>15</v>
      </c>
      <c r="B19" s="234"/>
      <c r="C19" s="234"/>
      <c r="D19" s="234"/>
      <c r="E19" s="234"/>
      <c r="F19" s="234"/>
      <c r="G19" s="234"/>
      <c r="H19" s="234"/>
      <c r="I19" s="234"/>
      <c r="J19" s="234"/>
      <c r="K19" s="234"/>
      <c r="L19" s="234"/>
    </row>
    <row r="20" spans="1:12" ht="19.5" customHeight="1" x14ac:dyDescent="0.25">
      <c r="A20" s="233">
        <v>16</v>
      </c>
      <c r="B20" s="234"/>
      <c r="C20" s="234"/>
      <c r="D20" s="234"/>
      <c r="E20" s="234"/>
      <c r="F20" s="234"/>
      <c r="G20" s="234"/>
      <c r="H20" s="234"/>
      <c r="I20" s="234"/>
      <c r="J20" s="234"/>
      <c r="K20" s="234"/>
      <c r="L20" s="234"/>
    </row>
    <row r="21" spans="1:12" ht="19.5" customHeight="1" x14ac:dyDescent="0.25">
      <c r="A21" s="233">
        <v>17</v>
      </c>
      <c r="B21" s="234"/>
      <c r="C21" s="234"/>
      <c r="D21" s="234"/>
      <c r="E21" s="234"/>
      <c r="F21" s="234"/>
      <c r="G21" s="234"/>
      <c r="H21" s="234"/>
      <c r="I21" s="234"/>
      <c r="J21" s="234"/>
      <c r="K21" s="234"/>
      <c r="L21" s="234"/>
    </row>
    <row r="22" spans="1:12" ht="19.5" customHeight="1" x14ac:dyDescent="0.25">
      <c r="A22" s="233">
        <v>18</v>
      </c>
      <c r="B22" s="234"/>
      <c r="C22" s="234"/>
      <c r="D22" s="234"/>
      <c r="E22" s="234"/>
      <c r="F22" s="234"/>
      <c r="G22" s="234"/>
      <c r="H22" s="234"/>
      <c r="I22" s="234"/>
      <c r="J22" s="234"/>
      <c r="K22" s="234"/>
      <c r="L22" s="234"/>
    </row>
    <row r="23" spans="1:12" ht="19.5" customHeight="1" x14ac:dyDescent="0.25">
      <c r="A23" s="233">
        <v>19</v>
      </c>
      <c r="B23" s="234"/>
      <c r="C23" s="234"/>
      <c r="D23" s="234"/>
      <c r="E23" s="234"/>
      <c r="F23" s="234"/>
      <c r="G23" s="234"/>
      <c r="H23" s="234"/>
      <c r="I23" s="234"/>
      <c r="J23" s="234"/>
      <c r="K23" s="234"/>
      <c r="L23" s="234"/>
    </row>
    <row r="24" spans="1:12" ht="19.5" customHeight="1" x14ac:dyDescent="0.25">
      <c r="A24" s="233">
        <v>20</v>
      </c>
      <c r="B24" s="234"/>
      <c r="C24" s="234"/>
      <c r="D24" s="234"/>
      <c r="E24" s="234"/>
      <c r="F24" s="234"/>
      <c r="G24" s="234"/>
      <c r="H24" s="234"/>
      <c r="I24" s="234"/>
      <c r="J24" s="234"/>
      <c r="K24" s="234"/>
      <c r="L24" s="234"/>
    </row>
    <row r="25" spans="1:12" ht="15" customHeight="1" x14ac:dyDescent="0.25">
      <c r="A25" s="50"/>
      <c r="B25" s="50"/>
      <c r="C25" s="50"/>
      <c r="D25" s="50"/>
      <c r="E25" s="50"/>
      <c r="F25" s="50"/>
      <c r="G25" s="50"/>
      <c r="H25" s="50"/>
      <c r="I25" s="50"/>
      <c r="J25" s="50"/>
      <c r="K25" s="50"/>
      <c r="L25" s="50"/>
    </row>
    <row r="26" spans="1:12" ht="15" customHeight="1" x14ac:dyDescent="0.25">
      <c r="A26" s="50"/>
      <c r="B26" s="50"/>
      <c r="C26" s="50"/>
      <c r="D26" s="50"/>
      <c r="E26" s="50"/>
      <c r="F26" s="50"/>
      <c r="G26" s="50"/>
      <c r="H26" s="50"/>
      <c r="I26" s="50"/>
      <c r="J26" s="50"/>
      <c r="K26" s="50"/>
      <c r="L26" s="50"/>
    </row>
    <row r="27" spans="1:12" ht="15" customHeight="1" x14ac:dyDescent="0.25">
      <c r="A27" s="391" t="s">
        <v>4749</v>
      </c>
      <c r="B27" s="391"/>
      <c r="C27" s="391"/>
      <c r="D27" s="391"/>
      <c r="E27" s="391"/>
      <c r="F27" s="391"/>
      <c r="G27" s="391"/>
      <c r="H27" s="391"/>
      <c r="I27" s="391"/>
      <c r="J27" s="391"/>
      <c r="K27" s="391"/>
      <c r="L27" s="391"/>
    </row>
    <row r="28" spans="1:12" ht="42" customHeight="1" x14ac:dyDescent="0.25">
      <c r="A28" s="396" t="s">
        <v>4855</v>
      </c>
      <c r="B28" s="396"/>
      <c r="C28" s="397" t="s">
        <v>4856</v>
      </c>
      <c r="D28" s="397"/>
      <c r="E28" s="397"/>
      <c r="F28" s="397"/>
      <c r="G28" s="397"/>
      <c r="H28" s="397"/>
      <c r="I28" s="397"/>
      <c r="J28" s="397"/>
      <c r="K28" s="397"/>
      <c r="L28" s="397"/>
    </row>
    <row r="29" spans="1:12" ht="42" customHeight="1" x14ac:dyDescent="0.25">
      <c r="A29" s="396" t="s">
        <v>4857</v>
      </c>
      <c r="B29" s="396"/>
      <c r="C29" s="397" t="s">
        <v>4858</v>
      </c>
      <c r="D29" s="397"/>
      <c r="E29" s="397"/>
      <c r="F29" s="397"/>
      <c r="G29" s="397"/>
      <c r="H29" s="397"/>
      <c r="I29" s="397"/>
      <c r="J29" s="397"/>
      <c r="K29" s="397"/>
      <c r="L29" s="397"/>
    </row>
    <row r="30" spans="1:12" ht="42" customHeight="1" x14ac:dyDescent="0.25">
      <c r="A30" s="396" t="s">
        <v>4859</v>
      </c>
      <c r="B30" s="396"/>
      <c r="C30" s="397" t="s">
        <v>4860</v>
      </c>
      <c r="D30" s="397"/>
      <c r="E30" s="397"/>
      <c r="F30" s="397"/>
      <c r="G30" s="397"/>
      <c r="H30" s="397"/>
      <c r="I30" s="397"/>
      <c r="J30" s="397"/>
      <c r="K30" s="397"/>
      <c r="L30" s="397"/>
    </row>
    <row r="31" spans="1:12" ht="42" customHeight="1" x14ac:dyDescent="0.25">
      <c r="A31" s="396" t="s">
        <v>4861</v>
      </c>
      <c r="B31" s="396"/>
      <c r="C31" s="397" t="s">
        <v>4862</v>
      </c>
      <c r="D31" s="397"/>
      <c r="E31" s="397"/>
      <c r="F31" s="397"/>
      <c r="G31" s="397"/>
      <c r="H31" s="397"/>
      <c r="I31" s="397"/>
      <c r="J31" s="397"/>
      <c r="K31" s="397"/>
      <c r="L31" s="397"/>
    </row>
  </sheetData>
  <sheetProtection password="EBB1" sheet="1" formatColumns="0" formatRows="0" sort="0" autoFilter="0"/>
  <mergeCells count="11">
    <mergeCell ref="A29:B29"/>
    <mergeCell ref="C29:L29"/>
    <mergeCell ref="A30:B30"/>
    <mergeCell ref="C30:L30"/>
    <mergeCell ref="A31:B31"/>
    <mergeCell ref="C31:L31"/>
    <mergeCell ref="A1:L1"/>
    <mergeCell ref="A2:L2"/>
    <mergeCell ref="A27:L27"/>
    <mergeCell ref="A28:B28"/>
    <mergeCell ref="C28:L28"/>
  </mergeCells>
  <dataValidations count="3">
    <dataValidation type="list" sqref="F5:F24">
      <formula1>"легка,помірна,тяжка"</formula1>
      <formula2>0</formula2>
    </dataValidation>
    <dataValidation type="list" sqref="G5:G24">
      <formula1>"безумовний,ймовірний,можливий,сумнівний,не пов'язаний"</formula1>
      <formula2>0</formula2>
    </dataValidation>
    <dataValidation type="list" sqref="J5:J24">
      <formula1>"так,ні"</formula1>
      <formula2>0</formula2>
    </dataValidation>
  </dataValidations>
  <pageMargins left="0.75" right="0.75" top="1" bottom="1" header="0.511811023622047" footer="0.511811023622047"/>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zoomScaleNormal="100" workbookViewId="0">
      <selection sqref="A1:K1"/>
    </sheetView>
  </sheetViews>
  <sheetFormatPr defaultColWidth="8.7109375" defaultRowHeight="15" x14ac:dyDescent="0.25"/>
  <cols>
    <col min="1" max="1" width="5" style="15" customWidth="1"/>
    <col min="2" max="2" width="30" style="15" customWidth="1"/>
    <col min="3" max="3" width="22" style="15" customWidth="1"/>
    <col min="4" max="4" width="14" style="15" customWidth="1"/>
    <col min="5" max="5" width="24" style="15" customWidth="1"/>
    <col min="6" max="6" width="22" style="15" customWidth="1"/>
    <col min="7" max="10" width="14" style="15" customWidth="1"/>
    <col min="11" max="11" width="16" style="15" customWidth="1"/>
  </cols>
  <sheetData>
    <row r="1" spans="1:11" ht="21.75" customHeight="1" x14ac:dyDescent="0.25">
      <c r="A1" s="389" t="s">
        <v>4863</v>
      </c>
      <c r="B1" s="389"/>
      <c r="C1" s="389"/>
      <c r="D1" s="389"/>
      <c r="E1" s="389"/>
      <c r="F1" s="389"/>
      <c r="G1" s="389"/>
      <c r="H1" s="389"/>
      <c r="I1" s="389"/>
      <c r="J1" s="389"/>
      <c r="K1" s="389"/>
    </row>
    <row r="2" spans="1:11" ht="33.75" customHeight="1" x14ac:dyDescent="0.25">
      <c r="A2" s="390" t="s">
        <v>4864</v>
      </c>
      <c r="B2" s="390"/>
      <c r="C2" s="390"/>
      <c r="D2" s="390"/>
      <c r="E2" s="390"/>
      <c r="F2" s="390"/>
      <c r="G2" s="390"/>
      <c r="H2" s="390"/>
      <c r="I2" s="390"/>
      <c r="J2" s="390"/>
      <c r="K2" s="390"/>
    </row>
    <row r="3" spans="1:11" ht="15" customHeight="1" x14ac:dyDescent="0.25">
      <c r="A3" s="50"/>
      <c r="B3" s="50"/>
      <c r="C3" s="50"/>
      <c r="D3" s="50"/>
      <c r="E3" s="50"/>
      <c r="F3" s="50"/>
      <c r="G3" s="50"/>
      <c r="H3" s="50"/>
      <c r="I3" s="50"/>
      <c r="J3" s="50"/>
      <c r="K3" s="50"/>
    </row>
    <row r="4" spans="1:11" ht="31.5" customHeight="1" x14ac:dyDescent="0.25">
      <c r="A4" s="232" t="s">
        <v>927</v>
      </c>
      <c r="B4" s="232" t="s">
        <v>4865</v>
      </c>
      <c r="C4" s="232" t="s">
        <v>4866</v>
      </c>
      <c r="D4" s="232" t="s">
        <v>4867</v>
      </c>
      <c r="E4" s="232" t="s">
        <v>4868</v>
      </c>
      <c r="F4" s="232" t="s">
        <v>4869</v>
      </c>
      <c r="G4" s="232" t="s">
        <v>4870</v>
      </c>
      <c r="H4" s="232" t="s">
        <v>4871</v>
      </c>
      <c r="I4" s="232" t="s">
        <v>6</v>
      </c>
      <c r="J4" s="232" t="s">
        <v>4872</v>
      </c>
      <c r="K4" s="232" t="s">
        <v>4873</v>
      </c>
    </row>
    <row r="5" spans="1:11" ht="19.5" customHeight="1" x14ac:dyDescent="0.25">
      <c r="A5" s="233">
        <v>1</v>
      </c>
      <c r="B5" s="267" t="s">
        <v>4874</v>
      </c>
      <c r="C5" s="234"/>
      <c r="D5" s="234"/>
      <c r="E5" s="268" t="s">
        <v>4875</v>
      </c>
      <c r="F5" s="269" t="s">
        <v>4876</v>
      </c>
      <c r="G5" s="234"/>
      <c r="H5" s="234"/>
      <c r="I5" s="72" t="str">
        <f t="shared" ref="I5:I21" ca="1" si="0">IF($H5="","—",IF($H5&lt;TODAY(),"⚠ ПРОСТРОЧЕНО",IF($H5-TODAY()&lt;30,"спливає","чинна")))</f>
        <v>—</v>
      </c>
      <c r="J5" s="234"/>
      <c r="K5" s="234"/>
    </row>
    <row r="6" spans="1:11" ht="19.5" customHeight="1" x14ac:dyDescent="0.25">
      <c r="A6" s="233">
        <v>2</v>
      </c>
      <c r="B6" s="267" t="s">
        <v>4877</v>
      </c>
      <c r="C6" s="234"/>
      <c r="D6" s="234"/>
      <c r="E6" s="268" t="s">
        <v>4878</v>
      </c>
      <c r="F6" s="269" t="s">
        <v>4879</v>
      </c>
      <c r="G6" s="234"/>
      <c r="H6" s="234"/>
      <c r="I6" s="72" t="str">
        <f t="shared" ca="1" si="0"/>
        <v>—</v>
      </c>
      <c r="J6" s="234"/>
      <c r="K6" s="234"/>
    </row>
    <row r="7" spans="1:11" ht="19.5" customHeight="1" x14ac:dyDescent="0.25">
      <c r="A7" s="233">
        <v>3</v>
      </c>
      <c r="B7" s="267" t="s">
        <v>4880</v>
      </c>
      <c r="C7" s="234"/>
      <c r="D7" s="234"/>
      <c r="E7" s="268" t="s">
        <v>4881</v>
      </c>
      <c r="F7" s="269" t="s">
        <v>4882</v>
      </c>
      <c r="G7" s="234"/>
      <c r="H7" s="234"/>
      <c r="I7" s="72" t="str">
        <f t="shared" ca="1" si="0"/>
        <v>—</v>
      </c>
      <c r="J7" s="234"/>
      <c r="K7" s="234"/>
    </row>
    <row r="8" spans="1:11" ht="19.5" customHeight="1" x14ac:dyDescent="0.25">
      <c r="A8" s="233">
        <v>4</v>
      </c>
      <c r="B8" s="267" t="s">
        <v>1106</v>
      </c>
      <c r="C8" s="234"/>
      <c r="D8" s="234"/>
      <c r="E8" s="268" t="s">
        <v>4883</v>
      </c>
      <c r="F8" s="269" t="s">
        <v>4884</v>
      </c>
      <c r="G8" s="234"/>
      <c r="H8" s="234"/>
      <c r="I8" s="72" t="str">
        <f t="shared" ca="1" si="0"/>
        <v>—</v>
      </c>
      <c r="J8" s="234"/>
      <c r="K8" s="234"/>
    </row>
    <row r="9" spans="1:11" ht="19.5" customHeight="1" x14ac:dyDescent="0.25">
      <c r="A9" s="233">
        <v>5</v>
      </c>
      <c r="B9" s="267" t="s">
        <v>4885</v>
      </c>
      <c r="C9" s="234"/>
      <c r="D9" s="234"/>
      <c r="E9" s="268" t="s">
        <v>4886</v>
      </c>
      <c r="F9" s="269" t="s">
        <v>4887</v>
      </c>
      <c r="G9" s="234"/>
      <c r="H9" s="234"/>
      <c r="I9" s="72" t="str">
        <f t="shared" ca="1" si="0"/>
        <v>—</v>
      </c>
      <c r="J9" s="234"/>
      <c r="K9" s="234"/>
    </row>
    <row r="10" spans="1:11" ht="19.5" customHeight="1" x14ac:dyDescent="0.25">
      <c r="A10" s="233">
        <v>6</v>
      </c>
      <c r="B10" s="267" t="s">
        <v>4888</v>
      </c>
      <c r="C10" s="234"/>
      <c r="D10" s="234"/>
      <c r="E10" s="268" t="s">
        <v>4889</v>
      </c>
      <c r="F10" s="269" t="s">
        <v>4890</v>
      </c>
      <c r="G10" s="234"/>
      <c r="H10" s="234"/>
      <c r="I10" s="72" t="str">
        <f t="shared" ca="1" si="0"/>
        <v>—</v>
      </c>
      <c r="J10" s="234"/>
      <c r="K10" s="234"/>
    </row>
    <row r="11" spans="1:11" ht="19.5" customHeight="1" x14ac:dyDescent="0.25">
      <c r="A11" s="233">
        <v>7</v>
      </c>
      <c r="B11" s="267" t="s">
        <v>4891</v>
      </c>
      <c r="C11" s="234"/>
      <c r="D11" s="234"/>
      <c r="E11" s="268" t="s">
        <v>4892</v>
      </c>
      <c r="F11" s="269" t="s">
        <v>4893</v>
      </c>
      <c r="G11" s="234"/>
      <c r="H11" s="234"/>
      <c r="I11" s="72" t="str">
        <f t="shared" ca="1" si="0"/>
        <v>—</v>
      </c>
      <c r="J11" s="234"/>
      <c r="K11" s="234"/>
    </row>
    <row r="12" spans="1:11" ht="19.5" customHeight="1" x14ac:dyDescent="0.25">
      <c r="A12" s="233">
        <v>8</v>
      </c>
      <c r="B12" s="267" t="s">
        <v>4894</v>
      </c>
      <c r="C12" s="234"/>
      <c r="D12" s="234"/>
      <c r="E12" s="268" t="s">
        <v>4895</v>
      </c>
      <c r="F12" s="269" t="s">
        <v>4896</v>
      </c>
      <c r="G12" s="234"/>
      <c r="H12" s="234"/>
      <c r="I12" s="72" t="str">
        <f t="shared" ca="1" si="0"/>
        <v>—</v>
      </c>
      <c r="J12" s="234"/>
      <c r="K12" s="234"/>
    </row>
    <row r="13" spans="1:11" ht="19.5" customHeight="1" x14ac:dyDescent="0.25">
      <c r="A13" s="233">
        <v>9</v>
      </c>
      <c r="B13" s="267" t="s">
        <v>4897</v>
      </c>
      <c r="C13" s="234"/>
      <c r="D13" s="234"/>
      <c r="E13" s="268" t="s">
        <v>194</v>
      </c>
      <c r="F13" s="269" t="s">
        <v>4898</v>
      </c>
      <c r="G13" s="234"/>
      <c r="H13" s="234"/>
      <c r="I13" s="72" t="str">
        <f t="shared" ca="1" si="0"/>
        <v>—</v>
      </c>
      <c r="J13" s="234"/>
      <c r="K13" s="234"/>
    </row>
    <row r="14" spans="1:11" ht="19.5" customHeight="1" x14ac:dyDescent="0.25">
      <c r="A14" s="233">
        <v>10</v>
      </c>
      <c r="B14" s="267" t="s">
        <v>4899</v>
      </c>
      <c r="C14" s="234"/>
      <c r="D14" s="234"/>
      <c r="E14" s="268" t="s">
        <v>4900</v>
      </c>
      <c r="F14" s="269" t="s">
        <v>4898</v>
      </c>
      <c r="G14" s="234"/>
      <c r="H14" s="234"/>
      <c r="I14" s="72" t="str">
        <f t="shared" ca="1" si="0"/>
        <v>—</v>
      </c>
      <c r="J14" s="234"/>
      <c r="K14" s="234"/>
    </row>
    <row r="15" spans="1:11" ht="19.5" customHeight="1" x14ac:dyDescent="0.25">
      <c r="A15" s="233">
        <v>11</v>
      </c>
      <c r="B15" s="267" t="s">
        <v>4901</v>
      </c>
      <c r="C15" s="234"/>
      <c r="D15" s="234"/>
      <c r="E15" s="268" t="s">
        <v>4902</v>
      </c>
      <c r="F15" s="269" t="s">
        <v>4903</v>
      </c>
      <c r="G15" s="234"/>
      <c r="H15" s="234"/>
      <c r="I15" s="72" t="str">
        <f t="shared" ca="1" si="0"/>
        <v>—</v>
      </c>
      <c r="J15" s="234"/>
      <c r="K15" s="234"/>
    </row>
    <row r="16" spans="1:11" ht="19.5" customHeight="1" x14ac:dyDescent="0.25">
      <c r="A16" s="233">
        <v>12</v>
      </c>
      <c r="B16" s="267" t="s">
        <v>4904</v>
      </c>
      <c r="C16" s="234"/>
      <c r="D16" s="234"/>
      <c r="E16" s="268" t="s">
        <v>200</v>
      </c>
      <c r="F16" s="269" t="s">
        <v>1239</v>
      </c>
      <c r="G16" s="234"/>
      <c r="H16" s="234"/>
      <c r="I16" s="72" t="str">
        <f t="shared" ca="1" si="0"/>
        <v>—</v>
      </c>
      <c r="J16" s="234"/>
      <c r="K16" s="234"/>
    </row>
    <row r="17" spans="1:11" ht="19.5" customHeight="1" x14ac:dyDescent="0.25">
      <c r="A17" s="233">
        <v>13</v>
      </c>
      <c r="B17" s="267" t="s">
        <v>4905</v>
      </c>
      <c r="C17" s="234"/>
      <c r="D17" s="234"/>
      <c r="E17" s="268" t="s">
        <v>4906</v>
      </c>
      <c r="F17" s="269" t="s">
        <v>4907</v>
      </c>
      <c r="G17" s="234"/>
      <c r="H17" s="234"/>
      <c r="I17" s="72" t="str">
        <f t="shared" ca="1" si="0"/>
        <v>—</v>
      </c>
      <c r="J17" s="234"/>
      <c r="K17" s="234"/>
    </row>
    <row r="18" spans="1:11" ht="19.5" customHeight="1" x14ac:dyDescent="0.25">
      <c r="A18" s="233">
        <v>14</v>
      </c>
      <c r="B18" s="267" t="s">
        <v>4908</v>
      </c>
      <c r="C18" s="234"/>
      <c r="D18" s="234"/>
      <c r="E18" s="268" t="s">
        <v>4909</v>
      </c>
      <c r="F18" s="269" t="s">
        <v>4910</v>
      </c>
      <c r="G18" s="234"/>
      <c r="H18" s="234"/>
      <c r="I18" s="72" t="str">
        <f t="shared" ca="1" si="0"/>
        <v>—</v>
      </c>
      <c r="J18" s="234"/>
      <c r="K18" s="234"/>
    </row>
    <row r="19" spans="1:11" ht="19.5" customHeight="1" x14ac:dyDescent="0.25">
      <c r="A19" s="233">
        <v>15</v>
      </c>
      <c r="B19" s="267" t="s">
        <v>4911</v>
      </c>
      <c r="C19" s="234"/>
      <c r="D19" s="234"/>
      <c r="E19" s="268" t="s">
        <v>4912</v>
      </c>
      <c r="F19" s="269" t="s">
        <v>4913</v>
      </c>
      <c r="G19" s="234"/>
      <c r="H19" s="234"/>
      <c r="I19" s="72" t="str">
        <f t="shared" ca="1" si="0"/>
        <v>—</v>
      </c>
      <c r="J19" s="234"/>
      <c r="K19" s="234"/>
    </row>
    <row r="20" spans="1:11" ht="19.5" customHeight="1" x14ac:dyDescent="0.25">
      <c r="A20" s="233">
        <v>16</v>
      </c>
      <c r="B20" s="267" t="s">
        <v>4914</v>
      </c>
      <c r="C20" s="234"/>
      <c r="D20" s="234"/>
      <c r="E20" s="268" t="s">
        <v>4915</v>
      </c>
      <c r="F20" s="269" t="s">
        <v>4916</v>
      </c>
      <c r="G20" s="234"/>
      <c r="H20" s="234"/>
      <c r="I20" s="72" t="str">
        <f t="shared" ca="1" si="0"/>
        <v>—</v>
      </c>
      <c r="J20" s="234"/>
      <c r="K20" s="234"/>
    </row>
    <row r="21" spans="1:11" ht="19.5" customHeight="1" x14ac:dyDescent="0.25">
      <c r="A21" s="233">
        <v>17</v>
      </c>
      <c r="B21" s="267" t="s">
        <v>4917</v>
      </c>
      <c r="C21" s="234"/>
      <c r="D21" s="234"/>
      <c r="E21" s="268" t="s">
        <v>4918</v>
      </c>
      <c r="F21" s="269" t="s">
        <v>4919</v>
      </c>
      <c r="G21" s="234"/>
      <c r="H21" s="234"/>
      <c r="I21" s="72" t="str">
        <f t="shared" ca="1" si="0"/>
        <v>—</v>
      </c>
      <c r="J21" s="234"/>
      <c r="K21" s="234"/>
    </row>
    <row r="22" spans="1:11" ht="15" customHeight="1" x14ac:dyDescent="0.25">
      <c r="A22" s="50"/>
      <c r="B22" s="50"/>
      <c r="C22" s="50"/>
      <c r="D22" s="50"/>
      <c r="E22" s="50"/>
      <c r="F22" s="50"/>
      <c r="G22" s="50"/>
      <c r="H22" s="50"/>
      <c r="I22" s="50"/>
      <c r="J22" s="50"/>
      <c r="K22" s="50"/>
    </row>
    <row r="23" spans="1:11" ht="15" customHeight="1" x14ac:dyDescent="0.25">
      <c r="A23" s="391" t="s">
        <v>4749</v>
      </c>
      <c r="B23" s="391"/>
      <c r="C23" s="391"/>
      <c r="D23" s="391"/>
      <c r="E23" s="391"/>
      <c r="F23" s="391"/>
      <c r="G23" s="391"/>
      <c r="H23" s="391"/>
      <c r="I23" s="391"/>
      <c r="J23" s="391"/>
      <c r="K23" s="391"/>
    </row>
    <row r="24" spans="1:11" ht="42" customHeight="1" x14ac:dyDescent="0.25">
      <c r="A24" s="396" t="s">
        <v>4920</v>
      </c>
      <c r="B24" s="396"/>
      <c r="C24" s="397" t="s">
        <v>4921</v>
      </c>
      <c r="D24" s="397"/>
      <c r="E24" s="397"/>
      <c r="F24" s="397"/>
      <c r="G24" s="397"/>
      <c r="H24" s="397"/>
      <c r="I24" s="397"/>
      <c r="J24" s="397"/>
      <c r="K24" s="397"/>
    </row>
    <row r="25" spans="1:11" ht="42" customHeight="1" x14ac:dyDescent="0.25">
      <c r="A25" s="396" t="s">
        <v>4922</v>
      </c>
      <c r="B25" s="396"/>
      <c r="C25" s="397" t="s">
        <v>4923</v>
      </c>
      <c r="D25" s="397"/>
      <c r="E25" s="397"/>
      <c r="F25" s="397"/>
      <c r="G25" s="397"/>
      <c r="H25" s="397"/>
      <c r="I25" s="397"/>
      <c r="J25" s="397"/>
      <c r="K25" s="397"/>
    </row>
    <row r="26" spans="1:11" ht="42" customHeight="1" x14ac:dyDescent="0.25">
      <c r="A26" s="396" t="s">
        <v>4924</v>
      </c>
      <c r="B26" s="396"/>
      <c r="C26" s="397" t="s">
        <v>4925</v>
      </c>
      <c r="D26" s="397"/>
      <c r="E26" s="397"/>
      <c r="F26" s="397"/>
      <c r="G26" s="397"/>
      <c r="H26" s="397"/>
      <c r="I26" s="397"/>
      <c r="J26" s="397"/>
      <c r="K26" s="397"/>
    </row>
    <row r="27" spans="1:11" ht="42" customHeight="1" x14ac:dyDescent="0.25">
      <c r="A27" s="396" t="s">
        <v>4926</v>
      </c>
      <c r="B27" s="396"/>
      <c r="C27" s="397" t="s">
        <v>4927</v>
      </c>
      <c r="D27" s="397"/>
      <c r="E27" s="397"/>
      <c r="F27" s="397"/>
      <c r="G27" s="397"/>
      <c r="H27" s="397"/>
      <c r="I27" s="397"/>
      <c r="J27" s="397"/>
      <c r="K27" s="397"/>
    </row>
  </sheetData>
  <sheetProtection password="EBB1" sheet="1" formatColumns="0" formatRows="0" sort="0" autoFilter="0"/>
  <mergeCells count="11">
    <mergeCell ref="A25:B25"/>
    <mergeCell ref="C25:K25"/>
    <mergeCell ref="A26:B26"/>
    <mergeCell ref="C26:K26"/>
    <mergeCell ref="A27:B27"/>
    <mergeCell ref="C27:K27"/>
    <mergeCell ref="A1:K1"/>
    <mergeCell ref="A2:K2"/>
    <mergeCell ref="A23:K23"/>
    <mergeCell ref="A24:B24"/>
    <mergeCell ref="C24:K24"/>
  </mergeCells>
  <pageMargins left="0.75" right="0.75" top="1" bottom="1" header="0.511811023622047" footer="0.511811023622047"/>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zoomScaleNormal="100" workbookViewId="0">
      <selection sqref="A1:L1"/>
    </sheetView>
  </sheetViews>
  <sheetFormatPr defaultColWidth="8.7109375" defaultRowHeight="15" x14ac:dyDescent="0.25"/>
  <cols>
    <col min="1" max="1" width="14" style="15" customWidth="1"/>
    <col min="2" max="2" width="10" style="15" customWidth="1"/>
    <col min="3" max="8" width="11" style="15" customWidth="1"/>
    <col min="9" max="9" width="10" style="15" customWidth="1"/>
    <col min="10" max="10" width="12" style="15" customWidth="1"/>
    <col min="11" max="11" width="11" style="15" customWidth="1"/>
    <col min="12" max="12" width="14" style="15" customWidth="1"/>
  </cols>
  <sheetData>
    <row r="1" spans="1:12" ht="15.75" customHeight="1" x14ac:dyDescent="0.25">
      <c r="A1" s="3" t="s">
        <v>4928</v>
      </c>
      <c r="B1" s="3"/>
      <c r="C1" s="3"/>
      <c r="D1" s="3"/>
      <c r="E1" s="3"/>
      <c r="F1" s="3"/>
      <c r="G1" s="3"/>
      <c r="H1" s="3"/>
      <c r="I1" s="3"/>
      <c r="J1" s="3"/>
      <c r="K1" s="3"/>
      <c r="L1" s="3"/>
    </row>
    <row r="2" spans="1:12" ht="33.75" customHeight="1" x14ac:dyDescent="0.25">
      <c r="A2" s="13" t="s">
        <v>4929</v>
      </c>
      <c r="B2" s="13"/>
      <c r="C2" s="13"/>
      <c r="D2" s="13"/>
      <c r="E2" s="13"/>
      <c r="F2" s="13"/>
      <c r="G2" s="13"/>
      <c r="H2" s="13"/>
      <c r="I2" s="13"/>
      <c r="J2" s="13"/>
      <c r="K2" s="13"/>
      <c r="L2" s="13"/>
    </row>
    <row r="4" spans="1:12" ht="15" customHeight="1" x14ac:dyDescent="0.25">
      <c r="A4" s="357" t="s">
        <v>4930</v>
      </c>
      <c r="B4" s="357"/>
      <c r="C4" s="357"/>
      <c r="D4" s="357"/>
      <c r="E4" s="357"/>
      <c r="F4" s="357"/>
      <c r="G4" s="357"/>
      <c r="H4" s="357"/>
      <c r="I4" s="357"/>
      <c r="J4" s="357"/>
      <c r="K4" s="357"/>
      <c r="L4" s="357"/>
    </row>
    <row r="5" spans="1:12" ht="30" customHeight="1" x14ac:dyDescent="0.25">
      <c r="A5" s="16" t="s">
        <v>4931</v>
      </c>
      <c r="B5" s="16" t="s">
        <v>4932</v>
      </c>
      <c r="C5" s="16" t="s">
        <v>4933</v>
      </c>
      <c r="D5" s="16" t="s">
        <v>4934</v>
      </c>
      <c r="E5" s="16" t="s">
        <v>4935</v>
      </c>
      <c r="F5" s="16" t="s">
        <v>4936</v>
      </c>
      <c r="G5" s="16" t="s">
        <v>4937</v>
      </c>
      <c r="H5" s="16" t="s">
        <v>4938</v>
      </c>
      <c r="I5" s="16" t="s">
        <v>4939</v>
      </c>
      <c r="J5" s="16" t="s">
        <v>4940</v>
      </c>
      <c r="K5" s="16" t="s">
        <v>4941</v>
      </c>
      <c r="L5" s="16" t="s">
        <v>4942</v>
      </c>
    </row>
    <row r="6" spans="1:12" ht="15" customHeight="1" x14ac:dyDescent="0.25">
      <c r="A6" s="69" t="s">
        <v>923</v>
      </c>
      <c r="B6" s="270">
        <f>COUNTIF('2024_2026'!$B$2:$B$976,$A6)</f>
        <v>210</v>
      </c>
      <c r="C6" s="270">
        <f>SUMPRODUCT(('2024_2026'!$B$2:$B$976=$A6)*('2024_2026'!$F$2:$F$976=0))</f>
        <v>42</v>
      </c>
      <c r="D6" s="271">
        <f>IFERROR(AVERAGEIFS('2024_2026'!$D$2:$D$976,'2024_2026'!$B$2:$B$976,$A6,'2024_2026'!$F$2:$F$976,0),"")</f>
        <v>38.047619047619051</v>
      </c>
      <c r="E6" s="271">
        <f>IFERROR(SQRT(SUMPRODUCT(('2024_2026'!$B$2:$B$976=$A6)*('2024_2026'!$F$2:$F$976=0)*('2024_2026'!$D$2:$D$976-SUMPRODUCT(('2024_2026'!$B$2:$B$976=$A6)*('2024_2026'!$F$2:$F$976=0)*'2024_2026'!$D$2:$D$976)/SUMPRODUCT(('2024_2026'!$B$2:$B$976=$A6)*('2024_2026'!$F$2:$F$976=0)))^2)/(SUMPRODUCT(('2024_2026'!$B$2:$B$976=$A6)*('2024_2026'!$F$2:$F$976=0))-1)),"")</f>
        <v>8.7232584562901785</v>
      </c>
      <c r="F6" s="270">
        <f>SUMPRODUCT(('2024_2026'!$B$2:$B$976=$A6)*('2024_2026'!$F$2:$F$976=0)*('2024_2026'!$C$2:$C$976="M"))</f>
        <v>30</v>
      </c>
      <c r="G6" s="270">
        <f>SUMPRODUCT(('2024_2026'!$B$2:$B$976=$A6)*('2024_2026'!$F$2:$F$976=0)*('2024_2026'!$C$2:$C$976="F"))</f>
        <v>12</v>
      </c>
      <c r="H6" s="73" t="str">
        <f>IFERROR(TEXT(SUMPRODUCT(('2024_2026'!$B$2:$B$976=$A6)*('2024_2026'!$F$2:$F$976=0)*'2024_2026'!$G$2:$G$976)/SUMPRODUCT(('2024_2026'!$B$2:$B$976=$A6)*('2024_2026'!$F$2:$F$976=0)),"0.00")&amp;" ± "&amp;TEXT(SQRT(SUMPRODUCT(('2024_2026'!$B$2:$B$976=$A6)*('2024_2026'!$F$2:$F$976=0)*('2024_2026'!$G$2:$G$976-SUMPRODUCT(('2024_2026'!$B$2:$B$976=$A6)*('2024_2026'!$F$2:$F$976=0)*'2024_2026'!$G$2:$G$976)/SUMPRODUCT(('2024_2026'!$B$2:$B$976=$A6)*('2024_2026'!$F$2:$F$976=0)))^2)/(SUMPRODUCT(('2024_2026'!$B$2:$B$976=$A6)*('2024_2026'!$F$2:$F$976=0))-1)),"0.00"),"")</f>
        <v/>
      </c>
      <c r="I6" s="73" t="str">
        <f>IFERROR(TEXT(SUMPRODUCT(('2024_2026'!$B$2:$B$976=$A6)*('2024_2026'!$F$2:$F$976=21)*'2024_2026'!$G$2:$G$976)/SUMPRODUCT(('2024_2026'!$B$2:$B$976=$A6)*('2024_2026'!$F$2:$F$976=21)),"0.00")&amp;" ± "&amp;TEXT(SQRT(SUMPRODUCT(('2024_2026'!$B$2:$B$976=$A6)*('2024_2026'!$F$2:$F$976=21)*('2024_2026'!$G$2:$G$976-SUMPRODUCT(('2024_2026'!$B$2:$B$976=$A6)*('2024_2026'!$F$2:$F$976=21)*'2024_2026'!$G$2:$G$976)/SUMPRODUCT(('2024_2026'!$B$2:$B$976=$A6)*('2024_2026'!$F$2:$F$976=21)))^2)/(SUMPRODUCT(('2024_2026'!$B$2:$B$976=$A6)*('2024_2026'!$F$2:$F$976=21))-1)),"0.00"),"")</f>
        <v/>
      </c>
      <c r="J6" s="272">
        <f>IFERROR(AVERAGEIFS('2024_2026'!$G$2:$G$976,'2024_2026'!$B$2:$B$976,$A6,'2024_2026'!$F$2:$F$976,0)-AVERAGEIFS('2024_2026'!$G$2:$G$976,'2024_2026'!$B$2:$B$976,$A6,'2024_2026'!$F$2:$F$976,21),"")</f>
        <v>2.3857142857142861</v>
      </c>
      <c r="K6" s="146">
        <f>IFERROR($J6/AVERAGEIFS('2024_2026'!$G$2:$G$976,'2024_2026'!$B$2:$B$976,$A6,'2024_2026'!$F$2:$F$976,0),"")</f>
        <v>0.35219683655536033</v>
      </c>
      <c r="L6" s="273"/>
    </row>
    <row r="7" spans="1:12" ht="15" customHeight="1" x14ac:dyDescent="0.25">
      <c r="A7" s="69" t="s">
        <v>924</v>
      </c>
      <c r="B7" s="270">
        <f>COUNTIF('2024_2026'!$B$2:$B$976,$A7)</f>
        <v>235</v>
      </c>
      <c r="C7" s="270">
        <f>SUMPRODUCT(('2024_2026'!$B$2:$B$976=$A7)*('2024_2026'!$F$2:$F$976=0))</f>
        <v>47</v>
      </c>
      <c r="D7" s="271">
        <f>IFERROR(AVERAGEIFS('2024_2026'!$D$2:$D$976,'2024_2026'!$B$2:$B$976,$A7,'2024_2026'!$F$2:$F$976,0),"")</f>
        <v>37.063829787234042</v>
      </c>
      <c r="E7" s="271">
        <f>IFERROR(SQRT(SUMPRODUCT(('2024_2026'!$B$2:$B$976=$A7)*('2024_2026'!$F$2:$F$976=0)*('2024_2026'!$D$2:$D$976-SUMPRODUCT(('2024_2026'!$B$2:$B$976=$A7)*('2024_2026'!$F$2:$F$976=0)*'2024_2026'!$D$2:$D$976)/SUMPRODUCT(('2024_2026'!$B$2:$B$976=$A7)*('2024_2026'!$F$2:$F$976=0)))^2)/(SUMPRODUCT(('2024_2026'!$B$2:$B$976=$A7)*('2024_2026'!$F$2:$F$976=0))-1)),"")</f>
        <v>6.6997866783663458</v>
      </c>
      <c r="F7" s="270">
        <f>SUMPRODUCT(('2024_2026'!$B$2:$B$976=$A7)*('2024_2026'!$F$2:$F$976=0)*('2024_2026'!$C$2:$C$976="M"))</f>
        <v>34</v>
      </c>
      <c r="G7" s="270">
        <f>SUMPRODUCT(('2024_2026'!$B$2:$B$976=$A7)*('2024_2026'!$F$2:$F$976=0)*('2024_2026'!$C$2:$C$976="F"))</f>
        <v>13</v>
      </c>
      <c r="H7" s="73" t="str">
        <f>IFERROR(TEXT(SUMPRODUCT(('2024_2026'!$B$2:$B$976=$A7)*('2024_2026'!$F$2:$F$976=0)*'2024_2026'!$G$2:$G$976)/SUMPRODUCT(('2024_2026'!$B$2:$B$976=$A7)*('2024_2026'!$F$2:$F$976=0)),"0.00")&amp;" ± "&amp;TEXT(SQRT(SUMPRODUCT(('2024_2026'!$B$2:$B$976=$A7)*('2024_2026'!$F$2:$F$976=0)*('2024_2026'!$G$2:$G$976-SUMPRODUCT(('2024_2026'!$B$2:$B$976=$A7)*('2024_2026'!$F$2:$F$976=0)*'2024_2026'!$G$2:$G$976)/SUMPRODUCT(('2024_2026'!$B$2:$B$976=$A7)*('2024_2026'!$F$2:$F$976=0)))^2)/(SUMPRODUCT(('2024_2026'!$B$2:$B$976=$A7)*('2024_2026'!$F$2:$F$976=0))-1)),"0.00"),"")</f>
        <v/>
      </c>
      <c r="I7" s="73" t="str">
        <f>IFERROR(TEXT(SUMPRODUCT(('2024_2026'!$B$2:$B$976=$A7)*('2024_2026'!$F$2:$F$976=21)*'2024_2026'!$G$2:$G$976)/SUMPRODUCT(('2024_2026'!$B$2:$B$976=$A7)*('2024_2026'!$F$2:$F$976=21)),"0.00")&amp;" ± "&amp;TEXT(SQRT(SUMPRODUCT(('2024_2026'!$B$2:$B$976=$A7)*('2024_2026'!$F$2:$F$976=21)*('2024_2026'!$G$2:$G$976-SUMPRODUCT(('2024_2026'!$B$2:$B$976=$A7)*('2024_2026'!$F$2:$F$976=21)*'2024_2026'!$G$2:$G$976)/SUMPRODUCT(('2024_2026'!$B$2:$B$976=$A7)*('2024_2026'!$F$2:$F$976=21)))^2)/(SUMPRODUCT(('2024_2026'!$B$2:$B$976=$A7)*('2024_2026'!$F$2:$F$976=21))-1)),"0.00"),"")</f>
        <v/>
      </c>
      <c r="J7" s="272">
        <f>IFERROR(AVERAGEIFS('2024_2026'!$G$2:$G$976,'2024_2026'!$B$2:$B$976,$A7,'2024_2026'!$F$2:$F$976,0)-AVERAGEIFS('2024_2026'!$G$2:$G$976,'2024_2026'!$B$2:$B$976,$A7,'2024_2026'!$F$2:$F$976,21),"")</f>
        <v>3.7808510638297887</v>
      </c>
      <c r="K7" s="146">
        <f>IFERROR($J7/AVERAGEIFS('2024_2026'!$G$2:$G$976,'2024_2026'!$B$2:$B$976,$A7,'2024_2026'!$F$2:$F$976,0),"")</f>
        <v>0.55152079453755432</v>
      </c>
      <c r="L7" s="273"/>
    </row>
    <row r="8" spans="1:12" ht="15" customHeight="1" x14ac:dyDescent="0.25">
      <c r="A8" s="69" t="s">
        <v>925</v>
      </c>
      <c r="B8" s="270">
        <f>COUNTIF('2024_2026'!$B$2:$B$976,$A8)</f>
        <v>195</v>
      </c>
      <c r="C8" s="270">
        <f>SUMPRODUCT(('2024_2026'!$B$2:$B$976=$A8)*('2024_2026'!$F$2:$F$976=0))</f>
        <v>39</v>
      </c>
      <c r="D8" s="271">
        <f>IFERROR(AVERAGEIFS('2024_2026'!$D$2:$D$976,'2024_2026'!$B$2:$B$976,$A8,'2024_2026'!$F$2:$F$976,0),"")</f>
        <v>37.974358974358971</v>
      </c>
      <c r="E8" s="271">
        <f>IFERROR(SQRT(SUMPRODUCT(('2024_2026'!$B$2:$B$976=$A8)*('2024_2026'!$F$2:$F$976=0)*('2024_2026'!$D$2:$D$976-SUMPRODUCT(('2024_2026'!$B$2:$B$976=$A8)*('2024_2026'!$F$2:$F$976=0)*'2024_2026'!$D$2:$D$976)/SUMPRODUCT(('2024_2026'!$B$2:$B$976=$A8)*('2024_2026'!$F$2:$F$976=0)))^2)/(SUMPRODUCT(('2024_2026'!$B$2:$B$976=$A8)*('2024_2026'!$F$2:$F$976=0))-1)),"")</f>
        <v>7.5550163867849021</v>
      </c>
      <c r="F8" s="270">
        <f>SUMPRODUCT(('2024_2026'!$B$2:$B$976=$A8)*('2024_2026'!$F$2:$F$976=0)*('2024_2026'!$C$2:$C$976="M"))</f>
        <v>23</v>
      </c>
      <c r="G8" s="270">
        <f>SUMPRODUCT(('2024_2026'!$B$2:$B$976=$A8)*('2024_2026'!$F$2:$F$976=0)*('2024_2026'!$C$2:$C$976="F"))</f>
        <v>16</v>
      </c>
      <c r="H8" s="73" t="str">
        <f>IFERROR(TEXT(SUMPRODUCT(('2024_2026'!$B$2:$B$976=$A8)*('2024_2026'!$F$2:$F$976=0)*'2024_2026'!$G$2:$G$976)/SUMPRODUCT(('2024_2026'!$B$2:$B$976=$A8)*('2024_2026'!$F$2:$F$976=0)),"0.00")&amp;" ± "&amp;TEXT(SQRT(SUMPRODUCT(('2024_2026'!$B$2:$B$976=$A8)*('2024_2026'!$F$2:$F$976=0)*('2024_2026'!$G$2:$G$976-SUMPRODUCT(('2024_2026'!$B$2:$B$976=$A8)*('2024_2026'!$F$2:$F$976=0)*'2024_2026'!$G$2:$G$976)/SUMPRODUCT(('2024_2026'!$B$2:$B$976=$A8)*('2024_2026'!$F$2:$F$976=0)))^2)/(SUMPRODUCT(('2024_2026'!$B$2:$B$976=$A8)*('2024_2026'!$F$2:$F$976=0))-1)),"0.00"),"")</f>
        <v/>
      </c>
      <c r="I8" s="73" t="str">
        <f>IFERROR(TEXT(SUMPRODUCT(('2024_2026'!$B$2:$B$976=$A8)*('2024_2026'!$F$2:$F$976=21)*'2024_2026'!$G$2:$G$976)/SUMPRODUCT(('2024_2026'!$B$2:$B$976=$A8)*('2024_2026'!$F$2:$F$976=21)),"0.00")&amp;" ± "&amp;TEXT(SQRT(SUMPRODUCT(('2024_2026'!$B$2:$B$976=$A8)*('2024_2026'!$F$2:$F$976=21)*('2024_2026'!$G$2:$G$976-SUMPRODUCT(('2024_2026'!$B$2:$B$976=$A8)*('2024_2026'!$F$2:$F$976=21)*'2024_2026'!$G$2:$G$976)/SUMPRODUCT(('2024_2026'!$B$2:$B$976=$A8)*('2024_2026'!$F$2:$F$976=21)))^2)/(SUMPRODUCT(('2024_2026'!$B$2:$B$976=$A8)*('2024_2026'!$F$2:$F$976=21))-1)),"0.00"),"")</f>
        <v/>
      </c>
      <c r="J8" s="272">
        <f>IFERROR(AVERAGEIFS('2024_2026'!$G$2:$G$976,'2024_2026'!$B$2:$B$976,$A8,'2024_2026'!$F$2:$F$976,0)-AVERAGEIFS('2024_2026'!$G$2:$G$976,'2024_2026'!$B$2:$B$976,$A8,'2024_2026'!$F$2:$F$976,21),"")</f>
        <v>4.0025641025641043</v>
      </c>
      <c r="K8" s="146">
        <f>IFERROR($J8/AVERAGEIFS('2024_2026'!$G$2:$G$976,'2024_2026'!$B$2:$B$976,$A8,'2024_2026'!$F$2:$F$976,0),"")</f>
        <v>0.58137802607076372</v>
      </c>
      <c r="L8" s="273"/>
    </row>
    <row r="9" spans="1:12" ht="15" customHeight="1" x14ac:dyDescent="0.25">
      <c r="A9" s="69" t="s">
        <v>926</v>
      </c>
      <c r="B9" s="270">
        <f>COUNTIF('2024_2026'!$B$2:$B$976,$A9)</f>
        <v>335</v>
      </c>
      <c r="C9" s="270">
        <f>SUMPRODUCT(('2024_2026'!$B$2:$B$976=$A9)*('2024_2026'!$F$2:$F$976=0))</f>
        <v>67</v>
      </c>
      <c r="D9" s="271">
        <f>IFERROR(AVERAGEIFS('2024_2026'!$D$2:$D$976,'2024_2026'!$B$2:$B$976,$A9,'2024_2026'!$F$2:$F$976,0),"")</f>
        <v>39.059701492537314</v>
      </c>
      <c r="E9" s="271">
        <f>IFERROR(SQRT(SUMPRODUCT(('2024_2026'!$B$2:$B$976=$A9)*('2024_2026'!$F$2:$F$976=0)*('2024_2026'!$D$2:$D$976-SUMPRODUCT(('2024_2026'!$B$2:$B$976=$A9)*('2024_2026'!$F$2:$F$976=0)*'2024_2026'!$D$2:$D$976)/SUMPRODUCT(('2024_2026'!$B$2:$B$976=$A9)*('2024_2026'!$F$2:$F$976=0)))^2)/(SUMPRODUCT(('2024_2026'!$B$2:$B$976=$A9)*('2024_2026'!$F$2:$F$976=0))-1)),"")</f>
        <v>8.6582953690332136</v>
      </c>
      <c r="F9" s="270">
        <f>SUMPRODUCT(('2024_2026'!$B$2:$B$976=$A9)*('2024_2026'!$F$2:$F$976=0)*('2024_2026'!$C$2:$C$976="M"))</f>
        <v>46</v>
      </c>
      <c r="G9" s="270">
        <f>SUMPRODUCT(('2024_2026'!$B$2:$B$976=$A9)*('2024_2026'!$F$2:$F$976=0)*('2024_2026'!$C$2:$C$976="F"))</f>
        <v>21</v>
      </c>
      <c r="H9" s="73" t="str">
        <f>IFERROR(TEXT(SUMPRODUCT(('2024_2026'!$B$2:$B$976=$A9)*('2024_2026'!$F$2:$F$976=0)*'2024_2026'!$G$2:$G$976)/SUMPRODUCT(('2024_2026'!$B$2:$B$976=$A9)*('2024_2026'!$F$2:$F$976=0)),"0.00")&amp;" ± "&amp;TEXT(SQRT(SUMPRODUCT(('2024_2026'!$B$2:$B$976=$A9)*('2024_2026'!$F$2:$F$976=0)*('2024_2026'!$G$2:$G$976-SUMPRODUCT(('2024_2026'!$B$2:$B$976=$A9)*('2024_2026'!$F$2:$F$976=0)*'2024_2026'!$G$2:$G$976)/SUMPRODUCT(('2024_2026'!$B$2:$B$976=$A9)*('2024_2026'!$F$2:$F$976=0)))^2)/(SUMPRODUCT(('2024_2026'!$B$2:$B$976=$A9)*('2024_2026'!$F$2:$F$976=0))-1)),"0.00"),"")</f>
        <v/>
      </c>
      <c r="I9" s="73" t="str">
        <f>IFERROR(TEXT(SUMPRODUCT(('2024_2026'!$B$2:$B$976=$A9)*('2024_2026'!$F$2:$F$976=21)*'2024_2026'!$G$2:$G$976)/SUMPRODUCT(('2024_2026'!$B$2:$B$976=$A9)*('2024_2026'!$F$2:$F$976=21)),"0.00")&amp;" ± "&amp;TEXT(SQRT(SUMPRODUCT(('2024_2026'!$B$2:$B$976=$A9)*('2024_2026'!$F$2:$F$976=21)*('2024_2026'!$G$2:$G$976-SUMPRODUCT(('2024_2026'!$B$2:$B$976=$A9)*('2024_2026'!$F$2:$F$976=21)*'2024_2026'!$G$2:$G$976)/SUMPRODUCT(('2024_2026'!$B$2:$B$976=$A9)*('2024_2026'!$F$2:$F$976=21)))^2)/(SUMPRODUCT(('2024_2026'!$B$2:$B$976=$A9)*('2024_2026'!$F$2:$F$976=21))-1)),"0.00"),"")</f>
        <v/>
      </c>
      <c r="J9" s="272">
        <f>IFERROR(AVERAGEIFS('2024_2026'!$G$2:$G$976,'2024_2026'!$B$2:$B$976,$A9,'2024_2026'!$F$2:$F$976,0)-AVERAGEIFS('2024_2026'!$G$2:$G$976,'2024_2026'!$B$2:$B$976,$A9,'2024_2026'!$F$2:$F$976,21),"")</f>
        <v>1.8029850746268634</v>
      </c>
      <c r="K9" s="146">
        <f>IFERROR($J9/AVERAGEIFS('2024_2026'!$G$2:$G$976,'2024_2026'!$B$2:$B$976,$A9,'2024_2026'!$F$2:$F$976,0),"")</f>
        <v>0.26062567421790694</v>
      </c>
      <c r="L9" s="273"/>
    </row>
    <row r="10" spans="1:12" ht="15" customHeight="1" x14ac:dyDescent="0.25">
      <c r="A10" s="86" t="s">
        <v>4943</v>
      </c>
      <c r="B10" s="86">
        <f>SUM($B$6:$B$9)</f>
        <v>975</v>
      </c>
      <c r="C10" s="86">
        <f>SUM($C$6:$C$9)</f>
        <v>195</v>
      </c>
    </row>
    <row r="12" spans="1:12" ht="15" customHeight="1" x14ac:dyDescent="0.25">
      <c r="A12" s="357" t="s">
        <v>4944</v>
      </c>
      <c r="B12" s="357"/>
      <c r="C12" s="357"/>
      <c r="D12" s="357"/>
      <c r="E12" s="357"/>
      <c r="F12" s="357"/>
      <c r="G12" s="357"/>
      <c r="H12" s="357"/>
      <c r="I12" s="357"/>
      <c r="J12" s="357"/>
      <c r="K12" s="357"/>
      <c r="L12" s="357"/>
    </row>
    <row r="13" spans="1:12" ht="30" customHeight="1" x14ac:dyDescent="0.25">
      <c r="A13" s="16" t="s">
        <v>816</v>
      </c>
      <c r="B13" s="16" t="s">
        <v>4931</v>
      </c>
      <c r="C13" s="16" t="s">
        <v>4945</v>
      </c>
      <c r="D13" s="16" t="s">
        <v>4946</v>
      </c>
      <c r="E13" s="16" t="s">
        <v>4947</v>
      </c>
      <c r="F13" s="16" t="s">
        <v>4948</v>
      </c>
      <c r="G13" s="16" t="s">
        <v>4949</v>
      </c>
      <c r="H13" s="16" t="s">
        <v>4950</v>
      </c>
      <c r="I13" s="16" t="s">
        <v>4951</v>
      </c>
    </row>
    <row r="14" spans="1:12" ht="15" customHeight="1" x14ac:dyDescent="0.25">
      <c r="A14" s="274" t="s">
        <v>4952</v>
      </c>
      <c r="B14" s="72" t="s">
        <v>923</v>
      </c>
      <c r="C14" s="272">
        <f>IFERROR(AVERAGEIFS('2024_2026'!$G$2:$G$976,'2024_2026'!$B$2:$B$976,$B14,'2024_2026'!$F$2:$F$976,0),"")</f>
        <v>6.7738095238095237</v>
      </c>
      <c r="D14" s="272">
        <f>IFERROR(AVERAGEIFS('2024_2026'!$G$2:$G$976,'2024_2026'!$B$2:$B$976,$B14,'2024_2026'!$F$2:$F$976,4),"")</f>
        <v>6.2761904761904779</v>
      </c>
      <c r="E14" s="272">
        <f>IFERROR(AVERAGEIFS('2024_2026'!$G$2:$G$976,'2024_2026'!$B$2:$B$976,$B14,'2024_2026'!$F$2:$F$976,8),"")</f>
        <v>5.8380952380952387</v>
      </c>
      <c r="F14" s="272">
        <f>IFERROR(AVERAGEIFS('2024_2026'!$G$2:$G$976,'2024_2026'!$B$2:$B$976,$B14,'2024_2026'!$F$2:$F$976,12),"")</f>
        <v>5.4071428571428566</v>
      </c>
      <c r="G14" s="272">
        <f>IFERROR(AVERAGEIFS('2024_2026'!$G$2:$G$976,'2024_2026'!$B$2:$B$976,$B14,'2024_2026'!$F$2:$F$976,21),"")</f>
        <v>4.3880952380952376</v>
      </c>
      <c r="H14" s="275">
        <f t="shared" ref="H14:H33" si="0">IFERROR($G14-$C14,"")</f>
        <v>-2.3857142857142861</v>
      </c>
      <c r="I14" s="94">
        <f t="shared" ref="I14:I33" si="1">IFERROR($H14/$C14,"")</f>
        <v>-0.35219683655536033</v>
      </c>
    </row>
    <row r="15" spans="1:12" ht="15" customHeight="1" x14ac:dyDescent="0.25">
      <c r="A15" s="70" t="s">
        <v>4952</v>
      </c>
      <c r="B15" s="72" t="s">
        <v>924</v>
      </c>
      <c r="C15" s="272">
        <f>IFERROR(AVERAGEIFS('2024_2026'!$G$2:$G$976,'2024_2026'!$B$2:$B$976,$B15,'2024_2026'!$F$2:$F$976,0),"")</f>
        <v>6.8553191489361724</v>
      </c>
      <c r="D15" s="272">
        <f>IFERROR(AVERAGEIFS('2024_2026'!$G$2:$G$976,'2024_2026'!$B$2:$B$976,$B15,'2024_2026'!$F$2:$F$976,4),"")</f>
        <v>6.1617021276595763</v>
      </c>
      <c r="E15" s="272">
        <f>IFERROR(AVERAGEIFS('2024_2026'!$G$2:$G$976,'2024_2026'!$B$2:$B$976,$B15,'2024_2026'!$F$2:$F$976,8),"")</f>
        <v>5.3617021276595729</v>
      </c>
      <c r="F15" s="272">
        <f>IFERROR(AVERAGEIFS('2024_2026'!$G$2:$G$976,'2024_2026'!$B$2:$B$976,$B15,'2024_2026'!$F$2:$F$976,12),"")</f>
        <v>4.6851063829787227</v>
      </c>
      <c r="G15" s="272">
        <f>IFERROR(AVERAGEIFS('2024_2026'!$G$2:$G$976,'2024_2026'!$B$2:$B$976,$B15,'2024_2026'!$F$2:$F$976,21),"")</f>
        <v>3.0744680851063837</v>
      </c>
      <c r="H15" s="275">
        <f t="shared" si="0"/>
        <v>-3.7808510638297887</v>
      </c>
      <c r="I15" s="94">
        <f t="shared" si="1"/>
        <v>-0.55152079453755432</v>
      </c>
    </row>
    <row r="16" spans="1:12" ht="15" customHeight="1" x14ac:dyDescent="0.25">
      <c r="A16" s="70" t="s">
        <v>4952</v>
      </c>
      <c r="B16" s="72" t="s">
        <v>925</v>
      </c>
      <c r="C16" s="272">
        <f>IFERROR(AVERAGEIFS('2024_2026'!$G$2:$G$976,'2024_2026'!$B$2:$B$976,$B16,'2024_2026'!$F$2:$F$976,0),"")</f>
        <v>6.884615384615385</v>
      </c>
      <c r="D16" s="272">
        <f>IFERROR(AVERAGEIFS('2024_2026'!$G$2:$G$976,'2024_2026'!$B$2:$B$976,$B16,'2024_2026'!$F$2:$F$976,4),"")</f>
        <v>6.1076923076923091</v>
      </c>
      <c r="E16" s="272">
        <f>IFERROR(AVERAGEIFS('2024_2026'!$G$2:$G$976,'2024_2026'!$B$2:$B$976,$B16,'2024_2026'!$F$2:$F$976,8),"")</f>
        <v>5.3435897435897424</v>
      </c>
      <c r="F16" s="272">
        <f>IFERROR(AVERAGEIFS('2024_2026'!$G$2:$G$976,'2024_2026'!$B$2:$B$976,$B16,'2024_2026'!$F$2:$F$976,12),"")</f>
        <v>4.6076923076923082</v>
      </c>
      <c r="G16" s="272">
        <f>IFERROR(AVERAGEIFS('2024_2026'!$G$2:$G$976,'2024_2026'!$B$2:$B$976,$B16,'2024_2026'!$F$2:$F$976,21),"")</f>
        <v>2.8820512820512811</v>
      </c>
      <c r="H16" s="275">
        <f t="shared" si="0"/>
        <v>-4.0025641025641043</v>
      </c>
      <c r="I16" s="94">
        <f t="shared" si="1"/>
        <v>-0.58137802607076372</v>
      </c>
    </row>
    <row r="17" spans="1:9" ht="15" customHeight="1" x14ac:dyDescent="0.25">
      <c r="A17" s="70" t="s">
        <v>4952</v>
      </c>
      <c r="B17" s="72" t="s">
        <v>926</v>
      </c>
      <c r="C17" s="272">
        <f>IFERROR(AVERAGEIFS('2024_2026'!$G$2:$G$976,'2024_2026'!$B$2:$B$976,$B17,'2024_2026'!$F$2:$F$976,0),"")</f>
        <v>6.9179104477611926</v>
      </c>
      <c r="D17" s="272">
        <f>IFERROR(AVERAGEIFS('2024_2026'!$G$2:$G$976,'2024_2026'!$B$2:$B$976,$B17,'2024_2026'!$F$2:$F$976,4),"")</f>
        <v>6.5746268656716431</v>
      </c>
      <c r="E17" s="272">
        <f>IFERROR(AVERAGEIFS('2024_2026'!$G$2:$G$976,'2024_2026'!$B$2:$B$976,$B17,'2024_2026'!$F$2:$F$976,8),"")</f>
        <v>6.2164179104477597</v>
      </c>
      <c r="F17" s="272">
        <f>IFERROR(AVERAGEIFS('2024_2026'!$G$2:$G$976,'2024_2026'!$B$2:$B$976,$B17,'2024_2026'!$F$2:$F$976,12),"")</f>
        <v>5.8776119402985092</v>
      </c>
      <c r="G17" s="272">
        <f>IFERROR(AVERAGEIFS('2024_2026'!$G$2:$G$976,'2024_2026'!$B$2:$B$976,$B17,'2024_2026'!$F$2:$F$976,21),"")</f>
        <v>5.1149253731343292</v>
      </c>
      <c r="H17" s="275">
        <f t="shared" si="0"/>
        <v>-1.8029850746268634</v>
      </c>
      <c r="I17" s="94">
        <f t="shared" si="1"/>
        <v>-0.26062567421790694</v>
      </c>
    </row>
    <row r="18" spans="1:9" ht="15" customHeight="1" x14ac:dyDescent="0.25">
      <c r="A18" s="274" t="s">
        <v>4953</v>
      </c>
      <c r="B18" s="72" t="s">
        <v>923</v>
      </c>
      <c r="C18" s="272">
        <f>IFERROR(AVERAGEIFS('2024_2026'!$H$2:$H$976,'2024_2026'!$B$2:$B$976,$B18,'2024_2026'!$F$2:$F$976,0),"")</f>
        <v>48.214285714285715</v>
      </c>
      <c r="D18" s="272">
        <f>IFERROR(AVERAGEIFS('2024_2026'!$H$2:$H$976,'2024_2026'!$B$2:$B$976,$B18,'2024_2026'!$F$2:$F$976,4),"")</f>
        <v>46.30952380952381</v>
      </c>
      <c r="E18" s="272">
        <f>IFERROR(AVERAGEIFS('2024_2026'!$H$2:$H$976,'2024_2026'!$B$2:$B$976,$B18,'2024_2026'!$F$2:$F$976,8),"")</f>
        <v>44.452380952380949</v>
      </c>
      <c r="F18" s="272">
        <f>IFERROR(AVERAGEIFS('2024_2026'!$H$2:$H$976,'2024_2026'!$B$2:$B$976,$B18,'2024_2026'!$F$2:$F$976,12),"")</f>
        <v>42.11904761904762</v>
      </c>
      <c r="G18" s="272">
        <f>IFERROR(AVERAGEIFS('2024_2026'!$H$2:$H$976,'2024_2026'!$B$2:$B$976,$B18,'2024_2026'!$F$2:$F$976,21),"")</f>
        <v>37.714285714285715</v>
      </c>
      <c r="H18" s="275">
        <f t="shared" si="0"/>
        <v>-10.5</v>
      </c>
      <c r="I18" s="94">
        <f t="shared" si="1"/>
        <v>-0.21777777777777776</v>
      </c>
    </row>
    <row r="19" spans="1:9" ht="15" customHeight="1" x14ac:dyDescent="0.25">
      <c r="A19" s="70" t="s">
        <v>4953</v>
      </c>
      <c r="B19" s="72" t="s">
        <v>924</v>
      </c>
      <c r="C19" s="272">
        <f>IFERROR(AVERAGEIFS('2024_2026'!$H$2:$H$976,'2024_2026'!$B$2:$B$976,$B19,'2024_2026'!$F$2:$F$976,0),"")</f>
        <v>46.340425531914896</v>
      </c>
      <c r="D19" s="272">
        <f>IFERROR(AVERAGEIFS('2024_2026'!$H$2:$H$976,'2024_2026'!$B$2:$B$976,$B19,'2024_2026'!$F$2:$F$976,4),"")</f>
        <v>43</v>
      </c>
      <c r="E19" s="272">
        <f>IFERROR(AVERAGEIFS('2024_2026'!$H$2:$H$976,'2024_2026'!$B$2:$B$976,$B19,'2024_2026'!$F$2:$F$976,8),"")</f>
        <v>39.978723404255319</v>
      </c>
      <c r="F19" s="272">
        <f>IFERROR(AVERAGEIFS('2024_2026'!$H$2:$H$976,'2024_2026'!$B$2:$B$976,$B19,'2024_2026'!$F$2:$F$976,12),"")</f>
        <v>36.829787234042556</v>
      </c>
      <c r="G19" s="272">
        <f>IFERROR(AVERAGEIFS('2024_2026'!$H$2:$H$976,'2024_2026'!$B$2:$B$976,$B19,'2024_2026'!$F$2:$F$976,21),"")</f>
        <v>29.212765957446809</v>
      </c>
      <c r="H19" s="275">
        <f t="shared" si="0"/>
        <v>-17.127659574468087</v>
      </c>
      <c r="I19" s="94">
        <f t="shared" si="1"/>
        <v>-0.36960514233241509</v>
      </c>
    </row>
    <row r="20" spans="1:9" ht="15" customHeight="1" x14ac:dyDescent="0.25">
      <c r="A20" s="70" t="s">
        <v>4953</v>
      </c>
      <c r="B20" s="72" t="s">
        <v>925</v>
      </c>
      <c r="C20" s="272">
        <f>IFERROR(AVERAGEIFS('2024_2026'!$H$2:$H$976,'2024_2026'!$B$2:$B$976,$B20,'2024_2026'!$F$2:$F$976,0),"")</f>
        <v>45.102564102564102</v>
      </c>
      <c r="D20" s="272">
        <f>IFERROR(AVERAGEIFS('2024_2026'!$H$2:$H$976,'2024_2026'!$B$2:$B$976,$B20,'2024_2026'!$F$2:$F$976,4),"")</f>
        <v>41.564102564102562</v>
      </c>
      <c r="E20" s="272">
        <f>IFERROR(AVERAGEIFS('2024_2026'!$H$2:$H$976,'2024_2026'!$B$2:$B$976,$B20,'2024_2026'!$F$2:$F$976,8),"")</f>
        <v>38.07692307692308</v>
      </c>
      <c r="F20" s="272">
        <f>IFERROR(AVERAGEIFS('2024_2026'!$H$2:$H$976,'2024_2026'!$B$2:$B$976,$B20,'2024_2026'!$F$2:$F$976,12),"")</f>
        <v>34.820512820512818</v>
      </c>
      <c r="G20" s="272">
        <f>IFERROR(AVERAGEIFS('2024_2026'!$H$2:$H$976,'2024_2026'!$B$2:$B$976,$B20,'2024_2026'!$F$2:$F$976,21),"")</f>
        <v>26.897435897435898</v>
      </c>
      <c r="H20" s="275">
        <f t="shared" si="0"/>
        <v>-18.205128205128204</v>
      </c>
      <c r="I20" s="94">
        <f t="shared" si="1"/>
        <v>-0.40363843092666285</v>
      </c>
    </row>
    <row r="21" spans="1:9" ht="15" customHeight="1" x14ac:dyDescent="0.25">
      <c r="A21" s="70" t="s">
        <v>4953</v>
      </c>
      <c r="B21" s="72" t="s">
        <v>926</v>
      </c>
      <c r="C21" s="272">
        <f>IFERROR(AVERAGEIFS('2024_2026'!$H$2:$H$976,'2024_2026'!$B$2:$B$976,$B21,'2024_2026'!$F$2:$F$976,0),"")</f>
        <v>45.059701492537314</v>
      </c>
      <c r="D21" s="272">
        <f>IFERROR(AVERAGEIFS('2024_2026'!$H$2:$H$976,'2024_2026'!$B$2:$B$976,$B21,'2024_2026'!$F$2:$F$976,4),"")</f>
        <v>44.298507462686565</v>
      </c>
      <c r="E21" s="272">
        <f>IFERROR(AVERAGEIFS('2024_2026'!$H$2:$H$976,'2024_2026'!$B$2:$B$976,$B21,'2024_2026'!$F$2:$F$976,8),"")</f>
        <v>43.208955223880594</v>
      </c>
      <c r="F21" s="272">
        <f>IFERROR(AVERAGEIFS('2024_2026'!$H$2:$H$976,'2024_2026'!$B$2:$B$976,$B21,'2024_2026'!$F$2:$F$976,12),"")</f>
        <v>42.029850746268657</v>
      </c>
      <c r="G21" s="272">
        <f>IFERROR(AVERAGEIFS('2024_2026'!$H$2:$H$976,'2024_2026'!$B$2:$B$976,$B21,'2024_2026'!$F$2:$F$976,21),"")</f>
        <v>40.07462686567164</v>
      </c>
      <c r="H21" s="275">
        <f t="shared" si="0"/>
        <v>-4.9850746268656749</v>
      </c>
      <c r="I21" s="94">
        <f t="shared" si="1"/>
        <v>-0.11063265982113289</v>
      </c>
    </row>
    <row r="22" spans="1:9" ht="15" customHeight="1" x14ac:dyDescent="0.25">
      <c r="A22" s="274" t="s">
        <v>4954</v>
      </c>
      <c r="B22" s="72" t="s">
        <v>923</v>
      </c>
      <c r="C22" s="272">
        <f>IFERROR(AVERAGEIFS('2024_2026'!$I$2:$I$976,'2024_2026'!$B$2:$B$976,$B22,'2024_2026'!$F$2:$F$976,0),"")</f>
        <v>3.4395238095238092</v>
      </c>
      <c r="D22" s="272">
        <f>IFERROR(AVERAGEIFS('2024_2026'!$I$2:$I$976,'2024_2026'!$B$2:$B$976,$B22,'2024_2026'!$F$2:$F$976,4),"")</f>
        <v>3.2816666666666672</v>
      </c>
      <c r="E22" s="272">
        <f>IFERROR(AVERAGEIFS('2024_2026'!$I$2:$I$976,'2024_2026'!$B$2:$B$976,$B22,'2024_2026'!$F$2:$F$976,8),"")</f>
        <v>3.1021428571428569</v>
      </c>
      <c r="F22" s="272">
        <f>IFERROR(AVERAGEIFS('2024_2026'!$I$2:$I$976,'2024_2026'!$B$2:$B$976,$B22,'2024_2026'!$F$2:$F$976,12),"")</f>
        <v>2.9349999999999987</v>
      </c>
      <c r="G22" s="272">
        <f>IFERROR(AVERAGEIFS('2024_2026'!$I$2:$I$976,'2024_2026'!$B$2:$B$976,$B22,'2024_2026'!$F$2:$F$976,21),"")</f>
        <v>2.5533333333333337</v>
      </c>
      <c r="H22" s="275">
        <f t="shared" si="0"/>
        <v>-0.88619047619047553</v>
      </c>
      <c r="I22" s="94">
        <f t="shared" si="1"/>
        <v>-0.25764917624255834</v>
      </c>
    </row>
    <row r="23" spans="1:9" ht="15" customHeight="1" x14ac:dyDescent="0.25">
      <c r="A23" s="70" t="s">
        <v>4954</v>
      </c>
      <c r="B23" s="72" t="s">
        <v>924</v>
      </c>
      <c r="C23" s="272">
        <f>IFERROR(AVERAGEIFS('2024_2026'!$I$2:$I$976,'2024_2026'!$B$2:$B$976,$B23,'2024_2026'!$F$2:$F$976,0),"")</f>
        <v>3.4827659574468091</v>
      </c>
      <c r="D23" s="272">
        <f>IFERROR(AVERAGEIFS('2024_2026'!$I$2:$I$976,'2024_2026'!$B$2:$B$976,$B23,'2024_2026'!$F$2:$F$976,4),"")</f>
        <v>3.1825531914893621</v>
      </c>
      <c r="E23" s="272">
        <f>IFERROR(AVERAGEIFS('2024_2026'!$I$2:$I$976,'2024_2026'!$B$2:$B$976,$B23,'2024_2026'!$F$2:$F$976,8),"")</f>
        <v>2.870425531914893</v>
      </c>
      <c r="F23" s="272">
        <f>IFERROR(AVERAGEIFS('2024_2026'!$I$2:$I$976,'2024_2026'!$B$2:$B$976,$B23,'2024_2026'!$F$2:$F$976,12),"")</f>
        <v>2.5802127659574472</v>
      </c>
      <c r="G23" s="272">
        <f>IFERROR(AVERAGEIFS('2024_2026'!$I$2:$I$976,'2024_2026'!$B$2:$B$976,$B23,'2024_2026'!$F$2:$F$976,21),"")</f>
        <v>1.887872340425532</v>
      </c>
      <c r="H23" s="275">
        <f t="shared" si="0"/>
        <v>-1.5948936170212771</v>
      </c>
      <c r="I23" s="94">
        <f t="shared" si="1"/>
        <v>-0.45793878673101601</v>
      </c>
    </row>
    <row r="24" spans="1:9" ht="15" customHeight="1" x14ac:dyDescent="0.25">
      <c r="A24" s="70" t="s">
        <v>4954</v>
      </c>
      <c r="B24" s="72" t="s">
        <v>925</v>
      </c>
      <c r="C24" s="272">
        <f>IFERROR(AVERAGEIFS('2024_2026'!$I$2:$I$976,'2024_2026'!$B$2:$B$976,$B24,'2024_2026'!$F$2:$F$976,0),"")</f>
        <v>3.4338461538461544</v>
      </c>
      <c r="D24" s="272">
        <f>IFERROR(AVERAGEIFS('2024_2026'!$I$2:$I$976,'2024_2026'!$B$2:$B$976,$B24,'2024_2026'!$F$2:$F$976,4),"")</f>
        <v>3.1087179487179486</v>
      </c>
      <c r="E24" s="272">
        <f>IFERROR(AVERAGEIFS('2024_2026'!$I$2:$I$976,'2024_2026'!$B$2:$B$976,$B24,'2024_2026'!$F$2:$F$976,8),"")</f>
        <v>2.8033333333333337</v>
      </c>
      <c r="F24" s="272">
        <f>IFERROR(AVERAGEIFS('2024_2026'!$I$2:$I$976,'2024_2026'!$B$2:$B$976,$B24,'2024_2026'!$F$2:$F$976,12),"")</f>
        <v>2.4820512820512821</v>
      </c>
      <c r="G24" s="272">
        <f>IFERROR(AVERAGEIFS('2024_2026'!$I$2:$I$976,'2024_2026'!$B$2:$B$976,$B24,'2024_2026'!$F$2:$F$976,21),"")</f>
        <v>1.7523076923076923</v>
      </c>
      <c r="H24" s="275">
        <f t="shared" si="0"/>
        <v>-1.6815384615384621</v>
      </c>
      <c r="I24" s="94">
        <f t="shared" si="1"/>
        <v>-0.4896953405017922</v>
      </c>
    </row>
    <row r="25" spans="1:9" ht="15" customHeight="1" x14ac:dyDescent="0.25">
      <c r="A25" s="70" t="s">
        <v>4954</v>
      </c>
      <c r="B25" s="72" t="s">
        <v>926</v>
      </c>
      <c r="C25" s="272">
        <f>IFERROR(AVERAGEIFS('2024_2026'!$I$2:$I$976,'2024_2026'!$B$2:$B$976,$B25,'2024_2026'!$F$2:$F$976,0),"")</f>
        <v>3.5049253731343279</v>
      </c>
      <c r="D25" s="272">
        <f>IFERROR(AVERAGEIFS('2024_2026'!$I$2:$I$976,'2024_2026'!$B$2:$B$976,$B25,'2024_2026'!$F$2:$F$976,4),"")</f>
        <v>3.410597014925373</v>
      </c>
      <c r="E25" s="272">
        <f>IFERROR(AVERAGEIFS('2024_2026'!$I$2:$I$976,'2024_2026'!$B$2:$B$976,$B25,'2024_2026'!$F$2:$F$976,8),"")</f>
        <v>3.3038805970149263</v>
      </c>
      <c r="F25" s="272">
        <f>IFERROR(AVERAGEIFS('2024_2026'!$I$2:$I$976,'2024_2026'!$B$2:$B$976,$B25,'2024_2026'!$F$2:$F$976,12),"")</f>
        <v>3.2082089552238791</v>
      </c>
      <c r="G25" s="272">
        <f>IFERROR(AVERAGEIFS('2024_2026'!$I$2:$I$976,'2024_2026'!$B$2:$B$976,$B25,'2024_2026'!$F$2:$F$976,21),"")</f>
        <v>2.9789552238805959</v>
      </c>
      <c r="H25" s="275">
        <f t="shared" si="0"/>
        <v>-0.52597014925373209</v>
      </c>
      <c r="I25" s="94">
        <f t="shared" si="1"/>
        <v>-0.15006600519524785</v>
      </c>
    </row>
    <row r="26" spans="1:9" ht="15" customHeight="1" x14ac:dyDescent="0.25">
      <c r="A26" s="274" t="s">
        <v>4955</v>
      </c>
      <c r="B26" s="72" t="s">
        <v>923</v>
      </c>
      <c r="C26" s="272">
        <f>IFERROR(AVERAGEIFS('2024_2026'!$J$2:$J$976,'2024_2026'!$B$2:$B$976,$B26,'2024_2026'!$F$2:$F$976,0),"")</f>
        <v>98.19047619047619</v>
      </c>
      <c r="D26" s="272">
        <f>IFERROR(AVERAGEIFS('2024_2026'!$J$2:$J$976,'2024_2026'!$B$2:$B$976,$B26,'2024_2026'!$F$2:$F$976,4),"")</f>
        <v>100.9047619047619</v>
      </c>
      <c r="E26" s="272">
        <f>IFERROR(AVERAGEIFS('2024_2026'!$J$2:$J$976,'2024_2026'!$B$2:$B$976,$B26,'2024_2026'!$F$2:$F$976,8),"")</f>
        <v>103.23809523809524</v>
      </c>
      <c r="F26" s="272">
        <f>IFERROR(AVERAGEIFS('2024_2026'!$J$2:$J$976,'2024_2026'!$B$2:$B$976,$B26,'2024_2026'!$F$2:$F$976,12),"")</f>
        <v>105.73809523809524</v>
      </c>
      <c r="G26" s="272">
        <f>IFERROR(AVERAGEIFS('2024_2026'!$J$2:$J$976,'2024_2026'!$B$2:$B$976,$B26,'2024_2026'!$F$2:$F$976,21),"")</f>
        <v>112.47619047619048</v>
      </c>
      <c r="H26" s="275">
        <f t="shared" si="0"/>
        <v>14.285714285714292</v>
      </c>
      <c r="I26" s="94">
        <f t="shared" si="1"/>
        <v>0.14548981571290015</v>
      </c>
    </row>
    <row r="27" spans="1:9" ht="15" customHeight="1" x14ac:dyDescent="0.25">
      <c r="A27" s="70" t="s">
        <v>4955</v>
      </c>
      <c r="B27" s="72" t="s">
        <v>924</v>
      </c>
      <c r="C27" s="272">
        <f>IFERROR(AVERAGEIFS('2024_2026'!$J$2:$J$976,'2024_2026'!$B$2:$B$976,$B27,'2024_2026'!$F$2:$F$976,0),"")</f>
        <v>97.744680851063833</v>
      </c>
      <c r="D27" s="272">
        <f>IFERROR(AVERAGEIFS('2024_2026'!$J$2:$J$976,'2024_2026'!$B$2:$B$976,$B27,'2024_2026'!$F$2:$F$976,4),"")</f>
        <v>101.95744680851064</v>
      </c>
      <c r="E27" s="272">
        <f>IFERROR(AVERAGEIFS('2024_2026'!$J$2:$J$976,'2024_2026'!$B$2:$B$976,$B27,'2024_2026'!$F$2:$F$976,8),"")</f>
        <v>106.19148936170212</v>
      </c>
      <c r="F27" s="272">
        <f>IFERROR(AVERAGEIFS('2024_2026'!$J$2:$J$976,'2024_2026'!$B$2:$B$976,$B27,'2024_2026'!$F$2:$F$976,12),"")</f>
        <v>110</v>
      </c>
      <c r="G27" s="272">
        <f>IFERROR(AVERAGEIFS('2024_2026'!$J$2:$J$976,'2024_2026'!$B$2:$B$976,$B27,'2024_2026'!$F$2:$F$976,21),"")</f>
        <v>119.87234042553192</v>
      </c>
      <c r="H27" s="275">
        <f t="shared" si="0"/>
        <v>22.127659574468083</v>
      </c>
      <c r="I27" s="94">
        <f t="shared" si="1"/>
        <v>0.22638223770134955</v>
      </c>
    </row>
    <row r="28" spans="1:9" ht="15" customHeight="1" x14ac:dyDescent="0.25">
      <c r="A28" s="70" t="s">
        <v>4955</v>
      </c>
      <c r="B28" s="72" t="s">
        <v>925</v>
      </c>
      <c r="C28" s="272">
        <f>IFERROR(AVERAGEIFS('2024_2026'!$J$2:$J$976,'2024_2026'!$B$2:$B$976,$B28,'2024_2026'!$F$2:$F$976,0),"")</f>
        <v>96.641025641025635</v>
      </c>
      <c r="D28" s="272">
        <f>IFERROR(AVERAGEIFS('2024_2026'!$J$2:$J$976,'2024_2026'!$B$2:$B$976,$B28,'2024_2026'!$F$2:$F$976,4),"")</f>
        <v>101.56410256410257</v>
      </c>
      <c r="E28" s="272">
        <f>IFERROR(AVERAGEIFS('2024_2026'!$J$2:$J$976,'2024_2026'!$B$2:$B$976,$B28,'2024_2026'!$F$2:$F$976,8),"")</f>
        <v>106.61538461538461</v>
      </c>
      <c r="F28" s="272">
        <f>IFERROR(AVERAGEIFS('2024_2026'!$J$2:$J$976,'2024_2026'!$B$2:$B$976,$B28,'2024_2026'!$F$2:$F$976,12),"")</f>
        <v>111.35897435897436</v>
      </c>
      <c r="G28" s="272">
        <f>IFERROR(AVERAGEIFS('2024_2026'!$J$2:$J$976,'2024_2026'!$B$2:$B$976,$B28,'2024_2026'!$F$2:$F$976,21),"")</f>
        <v>121.74358974358974</v>
      </c>
      <c r="H28" s="275">
        <f t="shared" si="0"/>
        <v>25.102564102564102</v>
      </c>
      <c r="I28" s="94">
        <f t="shared" si="1"/>
        <v>0.25975059697532504</v>
      </c>
    </row>
    <row r="29" spans="1:9" ht="15" customHeight="1" x14ac:dyDescent="0.25">
      <c r="A29" s="70" t="s">
        <v>4955</v>
      </c>
      <c r="B29" s="72" t="s">
        <v>926</v>
      </c>
      <c r="C29" s="272">
        <f>IFERROR(AVERAGEIFS('2024_2026'!$J$2:$J$976,'2024_2026'!$B$2:$B$976,$B29,'2024_2026'!$F$2:$F$976,0),"")</f>
        <v>96.97014925373135</v>
      </c>
      <c r="D29" s="272">
        <f>IFERROR(AVERAGEIFS('2024_2026'!$J$2:$J$976,'2024_2026'!$B$2:$B$976,$B29,'2024_2026'!$F$2:$F$976,4),"")</f>
        <v>99</v>
      </c>
      <c r="E29" s="272">
        <f>IFERROR(AVERAGEIFS('2024_2026'!$J$2:$J$976,'2024_2026'!$B$2:$B$976,$B29,'2024_2026'!$F$2:$F$976,8),"")</f>
        <v>100.35820895522389</v>
      </c>
      <c r="F29" s="272">
        <f>IFERROR(AVERAGEIFS('2024_2026'!$J$2:$J$976,'2024_2026'!$B$2:$B$976,$B29,'2024_2026'!$F$2:$F$976,12),"")</f>
        <v>102.77611940298507</v>
      </c>
      <c r="G29" s="272">
        <f>IFERROR(AVERAGEIFS('2024_2026'!$J$2:$J$976,'2024_2026'!$B$2:$B$976,$B29,'2024_2026'!$F$2:$F$976,21),"")</f>
        <v>107.29850746268657</v>
      </c>
      <c r="H29" s="275">
        <f t="shared" si="0"/>
        <v>10.328358208955223</v>
      </c>
      <c r="I29" s="94">
        <f t="shared" si="1"/>
        <v>0.10651069724488223</v>
      </c>
    </row>
    <row r="30" spans="1:9" ht="21.75" customHeight="1" x14ac:dyDescent="0.25">
      <c r="A30" s="274" t="s">
        <v>4956</v>
      </c>
      <c r="B30" s="72" t="s">
        <v>923</v>
      </c>
      <c r="C30" s="272">
        <f>IFERROR(AVERAGEIFS('2024_2026'!$K$2:$K$976,'2024_2026'!$B$2:$B$976,$B30,'2024_2026'!$F$2:$F$976,0),"")</f>
        <v>100</v>
      </c>
      <c r="D30" s="272">
        <f>IFERROR(AVERAGEIFS('2024_2026'!$K$2:$K$976,'2024_2026'!$B$2:$B$976,$B30,'2024_2026'!$F$2:$F$976,4),"")</f>
        <v>94</v>
      </c>
      <c r="E30" s="272">
        <f>IFERROR(AVERAGEIFS('2024_2026'!$K$2:$K$976,'2024_2026'!$B$2:$B$976,$B30,'2024_2026'!$F$2:$F$976,8),"")</f>
        <v>89</v>
      </c>
      <c r="F30" s="272">
        <f>IFERROR(AVERAGEIFS('2024_2026'!$K$2:$K$976,'2024_2026'!$B$2:$B$976,$B30,'2024_2026'!$F$2:$F$976,12),"")</f>
        <v>83</v>
      </c>
      <c r="G30" s="272">
        <f>IFERROR(AVERAGEIFS('2024_2026'!$K$2:$K$976,'2024_2026'!$B$2:$B$976,$B30,'2024_2026'!$F$2:$F$976,21),"")</f>
        <v>71</v>
      </c>
      <c r="H30" s="275">
        <f t="shared" si="0"/>
        <v>-29</v>
      </c>
      <c r="I30" s="94">
        <f t="shared" si="1"/>
        <v>-0.28999999999999998</v>
      </c>
    </row>
    <row r="31" spans="1:9" ht="15" customHeight="1" x14ac:dyDescent="0.25">
      <c r="A31" s="70" t="s">
        <v>4956</v>
      </c>
      <c r="B31" s="72" t="s">
        <v>924</v>
      </c>
      <c r="C31" s="272">
        <f>IFERROR(AVERAGEIFS('2024_2026'!$K$2:$K$976,'2024_2026'!$B$2:$B$976,$B31,'2024_2026'!$F$2:$F$976,0),"")</f>
        <v>100</v>
      </c>
      <c r="D31" s="272">
        <f>IFERROR(AVERAGEIFS('2024_2026'!$K$2:$K$976,'2024_2026'!$B$2:$B$976,$B31,'2024_2026'!$F$2:$F$976,4),"")</f>
        <v>92</v>
      </c>
      <c r="E31" s="272">
        <f>IFERROR(AVERAGEIFS('2024_2026'!$K$2:$K$976,'2024_2026'!$B$2:$B$976,$B31,'2024_2026'!$F$2:$F$976,8),"")</f>
        <v>84</v>
      </c>
      <c r="F31" s="272">
        <f>IFERROR(AVERAGEIFS('2024_2026'!$K$2:$K$976,'2024_2026'!$B$2:$B$976,$B31,'2024_2026'!$F$2:$F$976,12),"")</f>
        <v>76</v>
      </c>
      <c r="G31" s="272">
        <f>IFERROR(AVERAGEIFS('2024_2026'!$K$2:$K$976,'2024_2026'!$B$2:$B$976,$B31,'2024_2026'!$F$2:$F$976,21),"")</f>
        <v>58</v>
      </c>
      <c r="H31" s="275">
        <f t="shared" si="0"/>
        <v>-42</v>
      </c>
      <c r="I31" s="94">
        <f t="shared" si="1"/>
        <v>-0.42</v>
      </c>
    </row>
    <row r="32" spans="1:9" ht="15" customHeight="1" x14ac:dyDescent="0.25">
      <c r="A32" s="70" t="s">
        <v>4956</v>
      </c>
      <c r="B32" s="72" t="s">
        <v>925</v>
      </c>
      <c r="C32" s="272">
        <f>IFERROR(AVERAGEIFS('2024_2026'!$K$2:$K$976,'2024_2026'!$B$2:$B$976,$B32,'2024_2026'!$F$2:$F$976,0),"")</f>
        <v>100</v>
      </c>
      <c r="D32" s="272">
        <f>IFERROR(AVERAGEIFS('2024_2026'!$K$2:$K$976,'2024_2026'!$B$2:$B$976,$B32,'2024_2026'!$F$2:$F$976,4),"")</f>
        <v>91</v>
      </c>
      <c r="E32" s="272">
        <f>IFERROR(AVERAGEIFS('2024_2026'!$K$2:$K$976,'2024_2026'!$B$2:$B$976,$B32,'2024_2026'!$F$2:$F$976,8),"")</f>
        <v>83</v>
      </c>
      <c r="F32" s="272">
        <f>IFERROR(AVERAGEIFS('2024_2026'!$K$2:$K$976,'2024_2026'!$B$2:$B$976,$B32,'2024_2026'!$F$2:$F$976,12),"")</f>
        <v>74</v>
      </c>
      <c r="G32" s="272">
        <f>IFERROR(AVERAGEIFS('2024_2026'!$K$2:$K$976,'2024_2026'!$B$2:$B$976,$B32,'2024_2026'!$F$2:$F$976,21),"")</f>
        <v>55</v>
      </c>
      <c r="H32" s="275">
        <f t="shared" si="0"/>
        <v>-45</v>
      </c>
      <c r="I32" s="94">
        <f t="shared" si="1"/>
        <v>-0.45</v>
      </c>
    </row>
    <row r="33" spans="1:12" ht="15" customHeight="1" x14ac:dyDescent="0.25">
      <c r="A33" s="70" t="s">
        <v>4956</v>
      </c>
      <c r="B33" s="72" t="s">
        <v>926</v>
      </c>
      <c r="C33" s="272">
        <f>IFERROR(AVERAGEIFS('2024_2026'!$K$2:$K$976,'2024_2026'!$B$2:$B$976,$B33,'2024_2026'!$F$2:$F$976,0),"")</f>
        <v>100</v>
      </c>
      <c r="D33" s="272">
        <f>IFERROR(AVERAGEIFS('2024_2026'!$K$2:$K$976,'2024_2026'!$B$2:$B$976,$B33,'2024_2026'!$F$2:$F$976,4),"")</f>
        <v>97</v>
      </c>
      <c r="E33" s="272">
        <f>IFERROR(AVERAGEIFS('2024_2026'!$K$2:$K$976,'2024_2026'!$B$2:$B$976,$B33,'2024_2026'!$F$2:$F$976,8),"")</f>
        <v>94</v>
      </c>
      <c r="F33" s="272">
        <f>IFERROR(AVERAGEIFS('2024_2026'!$K$2:$K$976,'2024_2026'!$B$2:$B$976,$B33,'2024_2026'!$F$2:$F$976,12),"")</f>
        <v>91</v>
      </c>
      <c r="G33" s="272">
        <f>IFERROR(AVERAGEIFS('2024_2026'!$K$2:$K$976,'2024_2026'!$B$2:$B$976,$B33,'2024_2026'!$F$2:$F$976,21),"")</f>
        <v>85</v>
      </c>
      <c r="H33" s="275">
        <f t="shared" si="0"/>
        <v>-15</v>
      </c>
      <c r="I33" s="94">
        <f t="shared" si="1"/>
        <v>-0.15</v>
      </c>
    </row>
    <row r="35" spans="1:12" ht="15" customHeight="1" x14ac:dyDescent="0.25">
      <c r="A35" s="357" t="s">
        <v>861</v>
      </c>
      <c r="B35" s="357"/>
      <c r="C35" s="357"/>
      <c r="D35" s="357"/>
      <c r="E35" s="357"/>
      <c r="F35" s="357"/>
      <c r="G35" s="357"/>
      <c r="H35" s="357"/>
      <c r="I35" s="357"/>
      <c r="J35" s="357"/>
      <c r="K35" s="357"/>
      <c r="L35" s="357"/>
    </row>
    <row r="36" spans="1:12" ht="42" customHeight="1" x14ac:dyDescent="0.25">
      <c r="A36" s="360" t="s">
        <v>4957</v>
      </c>
      <c r="B36" s="360"/>
      <c r="C36" s="361" t="s">
        <v>4958</v>
      </c>
      <c r="D36" s="361"/>
      <c r="E36" s="361"/>
      <c r="F36" s="361"/>
      <c r="G36" s="361"/>
      <c r="H36" s="361"/>
      <c r="I36" s="361"/>
      <c r="J36" s="361"/>
      <c r="K36" s="361"/>
      <c r="L36" s="361"/>
    </row>
    <row r="37" spans="1:12" ht="42" customHeight="1" x14ac:dyDescent="0.25">
      <c r="A37" s="360" t="s">
        <v>4959</v>
      </c>
      <c r="B37" s="360"/>
      <c r="C37" s="361" t="s">
        <v>4960</v>
      </c>
      <c r="D37" s="361"/>
      <c r="E37" s="361"/>
      <c r="F37" s="361"/>
      <c r="G37" s="361"/>
      <c r="H37" s="361"/>
      <c r="I37" s="361"/>
      <c r="J37" s="361"/>
      <c r="K37" s="361"/>
      <c r="L37" s="361"/>
    </row>
    <row r="38" spans="1:12" ht="42" customHeight="1" x14ac:dyDescent="0.25">
      <c r="A38" s="360" t="s">
        <v>4961</v>
      </c>
      <c r="B38" s="360"/>
      <c r="C38" s="361" t="s">
        <v>4962</v>
      </c>
      <c r="D38" s="361"/>
      <c r="E38" s="361"/>
      <c r="F38" s="361"/>
      <c r="G38" s="361"/>
      <c r="H38" s="361"/>
      <c r="I38" s="361"/>
      <c r="J38" s="361"/>
      <c r="K38" s="361"/>
      <c r="L38" s="361"/>
    </row>
    <row r="39" spans="1:12" ht="42" customHeight="1" x14ac:dyDescent="0.25">
      <c r="A39" s="360" t="s">
        <v>4963</v>
      </c>
      <c r="B39" s="360"/>
      <c r="C39" s="361" t="s">
        <v>4964</v>
      </c>
      <c r="D39" s="361"/>
      <c r="E39" s="361"/>
      <c r="F39" s="361"/>
      <c r="G39" s="361"/>
      <c r="H39" s="361"/>
      <c r="I39" s="361"/>
      <c r="J39" s="361"/>
      <c r="K39" s="361"/>
      <c r="L39" s="361"/>
    </row>
  </sheetData>
  <sheetProtection password="EBB1" sheet="1" formatColumns="0" formatRows="0" sort="0" autoFilter="0"/>
  <mergeCells count="13">
    <mergeCell ref="A39:B39"/>
    <mergeCell ref="C39:L39"/>
    <mergeCell ref="A36:B36"/>
    <mergeCell ref="C36:L36"/>
    <mergeCell ref="A37:B37"/>
    <mergeCell ref="C37:L37"/>
    <mergeCell ref="A38:B38"/>
    <mergeCell ref="C38:L38"/>
    <mergeCell ref="A1:L1"/>
    <mergeCell ref="A2:L2"/>
    <mergeCell ref="A4:L4"/>
    <mergeCell ref="A12:L12"/>
    <mergeCell ref="A35:L35"/>
  </mergeCells>
  <pageMargins left="0.75" right="0.75" top="1" bottom="1" header="0.511811023622047" footer="0.511811023622047"/>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7"/>
  <sheetViews>
    <sheetView zoomScaleNormal="100" workbookViewId="0">
      <selection activeCell="L16" sqref="L16"/>
    </sheetView>
  </sheetViews>
  <sheetFormatPr defaultColWidth="8.7109375" defaultRowHeight="15" x14ac:dyDescent="0.25"/>
  <cols>
    <col min="1" max="1" width="24" style="15" customWidth="1"/>
    <col min="2" max="7" width="11" style="15" customWidth="1"/>
    <col min="8" max="8" width="10" style="15" customWidth="1"/>
    <col min="9" max="9" width="9" style="15" customWidth="1"/>
    <col min="10" max="10" width="12" style="15" customWidth="1"/>
  </cols>
  <sheetData>
    <row r="1" spans="1:16" ht="15.75" customHeight="1" x14ac:dyDescent="0.25">
      <c r="A1" s="3" t="s">
        <v>4965</v>
      </c>
      <c r="B1" s="3"/>
      <c r="C1" s="3"/>
      <c r="D1" s="3"/>
      <c r="E1" s="3"/>
      <c r="F1" s="3"/>
      <c r="G1" s="3"/>
      <c r="H1" s="3"/>
      <c r="I1" s="3"/>
      <c r="J1" s="3"/>
    </row>
    <row r="2" spans="1:16" ht="43.5" customHeight="1" x14ac:dyDescent="0.25">
      <c r="A2" s="13" t="s">
        <v>4966</v>
      </c>
      <c r="B2" s="13"/>
      <c r="C2" s="13"/>
      <c r="D2" s="13"/>
      <c r="E2" s="13"/>
      <c r="F2" s="13"/>
      <c r="G2" s="13"/>
      <c r="H2" s="13"/>
      <c r="I2" s="13"/>
      <c r="J2" s="13"/>
    </row>
    <row r="3" spans="1:16" ht="15" customHeight="1" x14ac:dyDescent="0.25">
      <c r="A3" s="398" t="s">
        <v>830</v>
      </c>
      <c r="B3" s="398"/>
      <c r="C3" s="276" t="str">
        <f>'5_Mechanistic'!$C$4</f>
        <v>АВТО</v>
      </c>
      <c r="D3" s="355" t="s">
        <v>4967</v>
      </c>
      <c r="E3" s="355"/>
      <c r="F3" s="355"/>
      <c r="G3" s="355"/>
      <c r="H3" s="355"/>
      <c r="I3" s="355"/>
      <c r="J3" s="355"/>
    </row>
    <row r="5" spans="1:16" ht="15" customHeight="1" x14ac:dyDescent="0.25">
      <c r="A5" s="357" t="s">
        <v>4968</v>
      </c>
      <c r="B5" s="357"/>
      <c r="C5" s="357"/>
      <c r="D5" s="357"/>
      <c r="E5" s="357"/>
      <c r="F5" s="357"/>
      <c r="G5" s="357"/>
      <c r="H5" s="357"/>
      <c r="I5" s="357"/>
      <c r="J5" s="357"/>
    </row>
    <row r="6" spans="1:16" ht="30" customHeight="1" x14ac:dyDescent="0.25">
      <c r="A6" s="16" t="s">
        <v>816</v>
      </c>
      <c r="B6" s="16" t="s">
        <v>4969</v>
      </c>
      <c r="C6" s="16" t="s">
        <v>4970</v>
      </c>
      <c r="D6" s="16" t="s">
        <v>4971</v>
      </c>
      <c r="E6" s="16" t="s">
        <v>4972</v>
      </c>
      <c r="F6" s="16" t="s">
        <v>4973</v>
      </c>
      <c r="G6" s="16" t="s">
        <v>4974</v>
      </c>
      <c r="H6" s="16" t="s">
        <v>4975</v>
      </c>
      <c r="I6" s="16" t="s">
        <v>851</v>
      </c>
      <c r="J6" s="16" t="s">
        <v>4976</v>
      </c>
    </row>
    <row r="7" spans="1:16" ht="19.5" customHeight="1" x14ac:dyDescent="0.25">
      <c r="A7" s="277" t="s">
        <v>4977</v>
      </c>
      <c r="B7" s="113">
        <f>'6_Audit_Trail'!$C$102</f>
        <v>6.8421773497668967E-2</v>
      </c>
      <c r="C7" s="113">
        <f>'6_Audit_Trail'!$D$102</f>
        <v>0.24283341454065707</v>
      </c>
      <c r="D7" s="113">
        <f>'6_Audit_Trail'!$E$102</f>
        <v>0.40408737345333268</v>
      </c>
      <c r="E7" s="113">
        <f>'6_Audit_Trail'!$F$102</f>
        <v>0.58474757311825676</v>
      </c>
      <c r="F7" s="113">
        <f>'6_Audit_Trail'!$G$102</f>
        <v>0.7718840274951706</v>
      </c>
      <c r="G7" s="115">
        <f>IFERROR($F7-$B7,"")</f>
        <v>0.70346225399750162</v>
      </c>
      <c r="H7" s="278">
        <f>IFERROR(($F7-$B7)/(1-$B7),"")</f>
        <v>0.75512955754525823</v>
      </c>
      <c r="I7" s="110" t="str">
        <f>IFERROR(VALUE(SUBSTITUTE('6_Audit_Trail'!$C$14,"≥","")),"")</f>
        <v/>
      </c>
      <c r="J7" s="120" t="str">
        <f>IFERROR(IF($B7&gt;=$I7,5,IF($C7&gt;=$I7,10,IF($D7&gt;=$I7,20,IF($E7&gt;=$I7,40,IF($F7&gt;=$I7,80,"не досягнуто"))))),"")</f>
        <v>не досягнуто</v>
      </c>
    </row>
    <row r="8" spans="1:16" ht="19.5" customHeight="1" x14ac:dyDescent="0.25">
      <c r="A8" s="26" t="s">
        <v>4978</v>
      </c>
      <c r="B8" s="279">
        <f>'6_Audit_Trail'!$C$103</f>
        <v>0.12727572427572426</v>
      </c>
      <c r="C8" s="279">
        <f>'6_Audit_Trail'!$D$103</f>
        <v>0.24266650016650021</v>
      </c>
      <c r="D8" s="279">
        <f>'6_Audit_Trail'!$E$103</f>
        <v>0.40956878538128544</v>
      </c>
      <c r="E8" s="279">
        <f>'6_Audit_Trail'!$F$103</f>
        <v>0.52211775724275722</v>
      </c>
      <c r="F8" s="279">
        <f>'6_Audit_Trail'!$G$103</f>
        <v>0.66959371878121876</v>
      </c>
      <c r="G8" s="280">
        <f>IFERROR($F8-$B8,"")</f>
        <v>0.54231799450549456</v>
      </c>
      <c r="H8" s="281">
        <f>IFERROR(($F8-$B8)/(1-$B8),"")</f>
        <v>0.62140816932750464</v>
      </c>
      <c r="I8" s="282" t="str">
        <f>IFERROR(VALUE(SUBSTITUTE('6_Audit_Trail'!$D$14,"≥","")),"")</f>
        <v/>
      </c>
      <c r="J8" s="28" t="str">
        <f>IFERROR(IF($B8&gt;=$I8,5,IF($C8&gt;=$I8,10,IF($D8&gt;=$I8,20,IF($E8&gt;=$I8,40,IF($F8&gt;=$I8,80,"не досягнуто"))))),"")</f>
        <v>не досягнуто</v>
      </c>
      <c r="L8" s="399" t="s">
        <v>4979</v>
      </c>
      <c r="M8" s="399"/>
      <c r="N8" s="399"/>
      <c r="O8" s="399"/>
      <c r="P8" s="399"/>
    </row>
    <row r="9" spans="1:16" ht="19.5" customHeight="1" x14ac:dyDescent="0.25">
      <c r="A9" s="283" t="s">
        <v>4980</v>
      </c>
      <c r="B9" s="137">
        <f>'6_Audit_Trail'!$C$104</f>
        <v>0.11959768725897764</v>
      </c>
      <c r="C9" s="137">
        <f>'6_Audit_Trail'!$D$104</f>
        <v>0.31031700263683176</v>
      </c>
      <c r="D9" s="137">
        <f>'6_Audit_Trail'!$E$104</f>
        <v>0.47791951574674529</v>
      </c>
      <c r="E9" s="137">
        <f>'6_Audit_Trail'!$F$104</f>
        <v>0.64342449267999524</v>
      </c>
      <c r="F9" s="137">
        <f>'6_Audit_Trail'!$G$104</f>
        <v>0.75958541221586739</v>
      </c>
      <c r="G9" s="139">
        <f>IFERROR($F9-$B9,"")</f>
        <v>0.63998772495688971</v>
      </c>
      <c r="H9" s="284">
        <f>IFERROR(($F9-$B9)/(1-$B9),"")</f>
        <v>0.72692644680176732</v>
      </c>
      <c r="I9" s="285" t="str">
        <f>IFERROR(VALUE(SUBSTITUTE('6_Audit_Trail'!$E$14,"≥","")),"")</f>
        <v/>
      </c>
      <c r="J9" s="142" t="str">
        <f>IFERROR(IF($B9&gt;=$I9,5,IF($C9&gt;=$I9,10,IF($D9&gt;=$I9,20,IF($E9&gt;=$I9,40,IF($F9&gt;=$I9,80,"не досягнуто"))))),"")</f>
        <v>не досягнуто</v>
      </c>
      <c r="L9" s="399"/>
      <c r="M9" s="399"/>
      <c r="N9" s="399"/>
      <c r="O9" s="399"/>
      <c r="P9" s="399"/>
    </row>
    <row r="10" spans="1:16" ht="19.5" customHeight="1" x14ac:dyDescent="0.25">
      <c r="A10" s="286" t="s">
        <v>4981</v>
      </c>
      <c r="B10" s="287">
        <f>'6_Audit_Trail'!$C$105</f>
        <v>0.11567968559218558</v>
      </c>
      <c r="C10" s="287">
        <f>'6_Audit_Trail'!$D$105</f>
        <v>0.25081529304029304</v>
      </c>
      <c r="D10" s="287">
        <f>'6_Audit_Trail'!$E$105</f>
        <v>0.40660666590354089</v>
      </c>
      <c r="E10" s="287">
        <f>'6_Audit_Trail'!$F$105</f>
        <v>0.50635106074481073</v>
      </c>
      <c r="F10" s="287">
        <f>'6_Audit_Trail'!$G$105</f>
        <v>0.65753875534188033</v>
      </c>
      <c r="G10" s="288">
        <f>IFERROR($F10-$B10,"")</f>
        <v>0.54185906974969478</v>
      </c>
      <c r="H10" s="289">
        <f>IFERROR(($F10-$B10)/(1-$B10),"")</f>
        <v>0.61274072405828539</v>
      </c>
      <c r="I10" s="290" t="str">
        <f>IFERROR(VALUE(SUBSTITUTE('6_Audit_Trail'!$F$14,"≥","")),"")</f>
        <v/>
      </c>
      <c r="J10" s="291" t="str">
        <f>IFERROR(IF($B10&gt;=$I10,5,IF($C10&gt;=$I10,10,IF($D10&gt;=$I10,20,IF($E10&gt;=$I10,40,IF($F10&gt;=$I10,80,"не досягнуто"))))),"")</f>
        <v>не досягнуто</v>
      </c>
      <c r="L10" s="399"/>
      <c r="M10" s="399"/>
      <c r="N10" s="399"/>
      <c r="O10" s="399"/>
      <c r="P10" s="399"/>
    </row>
    <row r="11" spans="1:16" ht="15" customHeight="1" x14ac:dyDescent="0.25">
      <c r="L11" s="399"/>
      <c r="M11" s="399"/>
      <c r="N11" s="399"/>
      <c r="O11" s="399"/>
      <c r="P11" s="399"/>
    </row>
    <row r="12" spans="1:16" ht="15" customHeight="1" x14ac:dyDescent="0.25">
      <c r="A12" s="357" t="s">
        <v>4982</v>
      </c>
      <c r="B12" s="357"/>
      <c r="C12" s="357"/>
      <c r="D12" s="357"/>
      <c r="E12" s="357"/>
      <c r="F12" s="357"/>
      <c r="G12" s="357"/>
      <c r="H12" s="357"/>
      <c r="I12" s="357"/>
      <c r="J12" s="357"/>
    </row>
    <row r="13" spans="1:16" ht="30" customHeight="1" x14ac:dyDescent="0.25">
      <c r="A13" s="16" t="s">
        <v>816</v>
      </c>
      <c r="B13" s="16" t="s">
        <v>4969</v>
      </c>
      <c r="C13" s="16" t="s">
        <v>4970</v>
      </c>
      <c r="D13" s="16" t="s">
        <v>4971</v>
      </c>
      <c r="E13" s="16" t="s">
        <v>4972</v>
      </c>
      <c r="F13" s="16" t="s">
        <v>4973</v>
      </c>
      <c r="G13" s="16" t="s">
        <v>4974</v>
      </c>
      <c r="H13" s="16" t="s">
        <v>4975</v>
      </c>
      <c r="I13" s="16" t="s">
        <v>851</v>
      </c>
      <c r="J13" s="16" t="s">
        <v>4976</v>
      </c>
    </row>
    <row r="14" spans="1:16" ht="19.5" customHeight="1" x14ac:dyDescent="0.25">
      <c r="A14" s="292" t="s">
        <v>4983</v>
      </c>
      <c r="B14" s="293">
        <f>'6_Audit_Trail'!$C$110</f>
        <v>8.0313958695915622E-2</v>
      </c>
      <c r="C14" s="293">
        <f>'6_Audit_Trail'!$D$110</f>
        <v>0.27529076312033202</v>
      </c>
      <c r="D14" s="293">
        <f>'6_Audit_Trail'!$E$110</f>
        <v>0.44284466440026971</v>
      </c>
      <c r="E14" s="293">
        <f>'6_Audit_Trail'!$F$110</f>
        <v>0.63249222869575084</v>
      </c>
      <c r="F14" s="293">
        <f>'6_Audit_Trail'!$G$110</f>
        <v>0.77486566087358666</v>
      </c>
      <c r="G14" s="294">
        <f>IFERROR($F14-$B14,"")</f>
        <v>0.69455170217767104</v>
      </c>
      <c r="H14" s="295">
        <f>IFERROR(($F14-$B14)/(1-$B14),"")</f>
        <v>0.75520522328774253</v>
      </c>
      <c r="I14" s="296" t="s">
        <v>3755</v>
      </c>
      <c r="J14" s="296" t="s">
        <v>3755</v>
      </c>
    </row>
    <row r="15" spans="1:16" ht="19.5" customHeight="1" x14ac:dyDescent="0.25">
      <c r="A15" s="277" t="s">
        <v>4984</v>
      </c>
      <c r="B15" s="113">
        <f>'6_Audit_Trail'!$C$111</f>
        <v>9.8194956390588409E-2</v>
      </c>
      <c r="C15" s="113">
        <f>'6_Audit_Trail'!$D$111</f>
        <v>0.24515694160638435</v>
      </c>
      <c r="D15" s="113">
        <f>'6_Audit_Trail'!$E$111</f>
        <v>0.4048534826079872</v>
      </c>
      <c r="E15" s="113">
        <f>'6_Audit_Trail'!$F$111</f>
        <v>0.55094563112295947</v>
      </c>
      <c r="F15" s="113">
        <f>'6_Audit_Trail'!$G$111</f>
        <v>0.74017941535315135</v>
      </c>
      <c r="G15" s="115">
        <f>IFERROR($F15-$B15,"")</f>
        <v>0.64198445896256295</v>
      </c>
      <c r="H15" s="278">
        <f>IFERROR(($F15-$B15)/(1-$B15),"")</f>
        <v>0.71188829948551302</v>
      </c>
      <c r="I15" s="116" t="s">
        <v>3755</v>
      </c>
      <c r="J15" s="116" t="s">
        <v>3755</v>
      </c>
    </row>
    <row r="16" spans="1:16" ht="19.5" customHeight="1" x14ac:dyDescent="0.25">
      <c r="A16" s="26" t="s">
        <v>4985</v>
      </c>
      <c r="B16" s="279">
        <f>'6_Audit_Trail'!$C$112</f>
        <v>0.1648905718396996</v>
      </c>
      <c r="C16" s="279">
        <f>'6_Audit_Trail'!$D$112</f>
        <v>0.27382733086161087</v>
      </c>
      <c r="D16" s="279">
        <f>'6_Audit_Trail'!$E$112</f>
        <v>0.46136783136066095</v>
      </c>
      <c r="E16" s="279">
        <f>'6_Audit_Trail'!$F$112</f>
        <v>0.55770300132254491</v>
      </c>
      <c r="F16" s="279">
        <f>'6_Audit_Trail'!$G$112</f>
        <v>0.72982881712720449</v>
      </c>
      <c r="G16" s="280">
        <f>IFERROR($F16-$B16,"")</f>
        <v>0.56493824528750491</v>
      </c>
      <c r="H16" s="281">
        <f>IFERROR(($F16-$B16)/(1-$B16),"")</f>
        <v>0.67648409446416191</v>
      </c>
      <c r="I16" s="297" t="s">
        <v>3755</v>
      </c>
      <c r="J16" s="297" t="s">
        <v>3755</v>
      </c>
    </row>
    <row r="17" spans="1:10" ht="19.5" customHeight="1" x14ac:dyDescent="0.25">
      <c r="A17" s="283" t="s">
        <v>4986</v>
      </c>
      <c r="B17" s="137">
        <f>'6_Audit_Trail'!$C$113</f>
        <v>0.12486117436023102</v>
      </c>
      <c r="C17" s="137">
        <f>'6_Audit_Trail'!$D$113</f>
        <v>0.29235764078072624</v>
      </c>
      <c r="D17" s="137">
        <f>'6_Audit_Trail'!$E$113</f>
        <v>0.4675751543868637</v>
      </c>
      <c r="E17" s="137">
        <f>'6_Audit_Trail'!$F$113</f>
        <v>0.65103678063211923</v>
      </c>
      <c r="F17" s="137">
        <f>'6_Audit_Trail'!$G$113</f>
        <v>0.76595520913295612</v>
      </c>
      <c r="G17" s="139">
        <f>IFERROR($F17-$B17,"")</f>
        <v>0.64109403477272509</v>
      </c>
      <c r="H17" s="284">
        <f>IFERROR(($F17-$B17)/(1-$B17),"")</f>
        <v>0.73256267004729703</v>
      </c>
      <c r="I17" s="134" t="s">
        <v>3755</v>
      </c>
      <c r="J17" s="134" t="s">
        <v>3755</v>
      </c>
    </row>
    <row r="18" spans="1:10" ht="19.5" customHeight="1" x14ac:dyDescent="0.25">
      <c r="A18" s="286" t="s">
        <v>4987</v>
      </c>
      <c r="B18" s="287">
        <f>'6_Audit_Trail'!$C$114</f>
        <v>0.1495877895981087</v>
      </c>
      <c r="C18" s="287">
        <f>'6_Audit_Trail'!$D$114</f>
        <v>0.2161196690307329</v>
      </c>
      <c r="D18" s="287">
        <f>'6_Audit_Trail'!$E$114</f>
        <v>0.39044562943262417</v>
      </c>
      <c r="E18" s="287">
        <f>'6_Audit_Trail'!$F$114</f>
        <v>0.57589764184397174</v>
      </c>
      <c r="F18" s="287">
        <f>'6_Audit_Trail'!$G$114</f>
        <v>0.73712325945626489</v>
      </c>
      <c r="G18" s="288">
        <f>IFERROR($F18-$B18,"")</f>
        <v>0.58753546985815619</v>
      </c>
      <c r="H18" s="289">
        <f>IFERROR(($F18-$B18)/(1-$B18),"")</f>
        <v>0.69088315368907538</v>
      </c>
      <c r="I18" s="298" t="s">
        <v>3755</v>
      </c>
      <c r="J18" s="298" t="s">
        <v>3755</v>
      </c>
    </row>
    <row r="20" spans="1:10" ht="15" customHeight="1" x14ac:dyDescent="0.25">
      <c r="A20" s="357" t="s">
        <v>4988</v>
      </c>
      <c r="B20" s="357"/>
      <c r="C20" s="357"/>
      <c r="D20" s="357"/>
      <c r="E20" s="357"/>
      <c r="F20" s="357"/>
      <c r="G20" s="357"/>
      <c r="H20" s="357"/>
      <c r="I20" s="357"/>
      <c r="J20" s="357"/>
    </row>
    <row r="21" spans="1:10" ht="30" customHeight="1" x14ac:dyDescent="0.25">
      <c r="A21" s="16" t="s">
        <v>816</v>
      </c>
      <c r="B21" s="16" t="s">
        <v>4969</v>
      </c>
      <c r="C21" s="16" t="s">
        <v>4970</v>
      </c>
      <c r="D21" s="16" t="s">
        <v>4971</v>
      </c>
      <c r="E21" s="16" t="s">
        <v>4972</v>
      </c>
      <c r="F21" s="16" t="s">
        <v>4973</v>
      </c>
      <c r="G21" s="16" t="s">
        <v>4974</v>
      </c>
      <c r="H21" s="16" t="s">
        <v>4975</v>
      </c>
      <c r="I21" s="16" t="s">
        <v>851</v>
      </c>
      <c r="J21" s="16" t="s">
        <v>4976</v>
      </c>
    </row>
    <row r="22" spans="1:10" ht="19.5" customHeight="1" x14ac:dyDescent="0.25">
      <c r="A22" s="299" t="s">
        <v>4989</v>
      </c>
      <c r="B22" s="300">
        <f>'6_Audit_Trail'!$C$115</f>
        <v>0.11330752631423381</v>
      </c>
      <c r="C22" s="300">
        <f>'6_Audit_Trail'!$D$115</f>
        <v>0.26503405902615584</v>
      </c>
      <c r="D22" s="300">
        <f>'6_Audit_Trail'!$E$115</f>
        <v>0.435831538496812</v>
      </c>
      <c r="E22" s="300">
        <f>'6_Audit_Trail'!$F$115</f>
        <v>0.59893664689866788</v>
      </c>
      <c r="F22" s="300">
        <f>'6_Audit_Trail'!$G$115</f>
        <v>0.75388224244166224</v>
      </c>
      <c r="G22" s="301">
        <f>IFERROR($F22-$B22,"")</f>
        <v>0.64057471612742845</v>
      </c>
      <c r="H22" s="302">
        <f>IFERROR(($F22-$B22)/(1-$B22),"")</f>
        <v>0.72243166051101604</v>
      </c>
      <c r="I22" s="303" t="s">
        <v>3755</v>
      </c>
      <c r="J22" s="303" t="s">
        <v>3755</v>
      </c>
    </row>
    <row r="74" spans="1:10" ht="15" customHeight="1" x14ac:dyDescent="0.25">
      <c r="A74" s="357" t="s">
        <v>4990</v>
      </c>
      <c r="B74" s="357"/>
      <c r="C74" s="357"/>
      <c r="D74" s="357"/>
      <c r="E74" s="357"/>
      <c r="F74" s="357"/>
      <c r="G74" s="357"/>
      <c r="H74" s="357"/>
      <c r="I74" s="357"/>
      <c r="J74" s="357"/>
    </row>
    <row r="75" spans="1:10" ht="24" customHeight="1" x14ac:dyDescent="0.25">
      <c r="A75" s="16" t="s">
        <v>4991</v>
      </c>
      <c r="B75" s="16" t="s">
        <v>849</v>
      </c>
      <c r="C75" s="16" t="s">
        <v>4992</v>
      </c>
    </row>
    <row r="76" spans="1:10" ht="21.75" customHeight="1" x14ac:dyDescent="0.25">
      <c r="A76" s="17" t="s">
        <v>4993</v>
      </c>
      <c r="B76" s="145">
        <f>'6_Audit_Trail'!$C$119</f>
        <v>0.49824846844463228</v>
      </c>
      <c r="C76" s="70" t="s">
        <v>690</v>
      </c>
    </row>
    <row r="77" spans="1:10" ht="21.75" customHeight="1" x14ac:dyDescent="0.25">
      <c r="A77" s="17" t="s">
        <v>4994</v>
      </c>
      <c r="B77" s="145">
        <f>'6_Audit_Trail'!$C$120</f>
        <v>1.4571036355423599</v>
      </c>
      <c r="C77" s="144" t="str">
        <f>IF($B77="","",IF($B77&gt;1.05,"Ефект продовжує наростати",IF($B77&gt;=0.95,"Ефект стабільний","Ефект згасає — переглянути протокол")))</f>
        <v>Ефект продовжує наростати</v>
      </c>
    </row>
    <row r="78" spans="1:10" ht="21.75" customHeight="1" x14ac:dyDescent="0.25">
      <c r="A78" s="17" t="s">
        <v>4995</v>
      </c>
      <c r="B78" s="145">
        <f>'6_Audit_Trail'!$C$121</f>
        <v>0.73242938263749124</v>
      </c>
      <c r="C78" s="70" t="s">
        <v>4996</v>
      </c>
    </row>
    <row r="79" spans="1:10" ht="21.75" customHeight="1" x14ac:dyDescent="0.25">
      <c r="A79" s="17" t="s">
        <v>4997</v>
      </c>
      <c r="B79" s="145">
        <f>'6_Audit_Trail'!$C$122</f>
        <v>0.72608500567386325</v>
      </c>
      <c r="C79" s="70" t="s">
        <v>4998</v>
      </c>
    </row>
    <row r="80" spans="1:10" ht="21.75" customHeight="1" x14ac:dyDescent="0.25">
      <c r="A80" s="17" t="s">
        <v>4999</v>
      </c>
      <c r="B80" s="304">
        <f>'5_Mechanistic'!$E$19</f>
        <v>1</v>
      </c>
      <c r="C80" s="144" t="str">
        <f>IF($B80="","",IF($B80&gt;=0.8,"Достовірно — обстеження повне",IF($B80&gt;=0.6,"Обмежено — частина показників відсутня","Недостатньо даних — графіки лише орієнтовні")))</f>
        <v>Достовірно — обстеження повне</v>
      </c>
    </row>
    <row r="82" spans="1:10" ht="15" customHeight="1" x14ac:dyDescent="0.25">
      <c r="A82" s="357" t="s">
        <v>861</v>
      </c>
      <c r="B82" s="357"/>
      <c r="C82" s="357"/>
      <c r="D82" s="357"/>
      <c r="E82" s="357"/>
      <c r="F82" s="357"/>
      <c r="G82" s="357"/>
      <c r="H82" s="357"/>
      <c r="I82" s="357"/>
      <c r="J82" s="357"/>
    </row>
    <row r="83" spans="1:10" ht="43.5" customHeight="1" x14ac:dyDescent="0.25">
      <c r="A83" s="360" t="s">
        <v>5000</v>
      </c>
      <c r="B83" s="360"/>
      <c r="C83" s="361" t="s">
        <v>5001</v>
      </c>
      <c r="D83" s="361"/>
      <c r="E83" s="361"/>
      <c r="F83" s="361"/>
      <c r="G83" s="361"/>
      <c r="H83" s="361"/>
      <c r="I83" s="361"/>
      <c r="J83" s="361"/>
    </row>
    <row r="84" spans="1:10" ht="43.5" customHeight="1" x14ac:dyDescent="0.25">
      <c r="A84" s="360" t="s">
        <v>5002</v>
      </c>
      <c r="B84" s="360"/>
      <c r="C84" s="361" t="s">
        <v>5003</v>
      </c>
      <c r="D84" s="361"/>
      <c r="E84" s="361"/>
      <c r="F84" s="361"/>
      <c r="G84" s="361"/>
      <c r="H84" s="361"/>
      <c r="I84" s="361"/>
      <c r="J84" s="361"/>
    </row>
    <row r="85" spans="1:10" ht="43.5" customHeight="1" x14ac:dyDescent="0.25">
      <c r="A85" s="360" t="s">
        <v>5004</v>
      </c>
      <c r="B85" s="360"/>
      <c r="C85" s="361" t="s">
        <v>5005</v>
      </c>
      <c r="D85" s="361"/>
      <c r="E85" s="361"/>
      <c r="F85" s="361"/>
      <c r="G85" s="361"/>
      <c r="H85" s="361"/>
      <c r="I85" s="361"/>
      <c r="J85" s="361"/>
    </row>
    <row r="86" spans="1:10" ht="43.5" customHeight="1" x14ac:dyDescent="0.25">
      <c r="A86" s="360" t="s">
        <v>5006</v>
      </c>
      <c r="B86" s="360"/>
      <c r="C86" s="361" t="s">
        <v>5007</v>
      </c>
      <c r="D86" s="361"/>
      <c r="E86" s="361"/>
      <c r="F86" s="361"/>
      <c r="G86" s="361"/>
      <c r="H86" s="361"/>
      <c r="I86" s="361"/>
      <c r="J86" s="361"/>
    </row>
    <row r="87" spans="1:10" ht="43.5" customHeight="1" x14ac:dyDescent="0.25">
      <c r="A87" s="360" t="s">
        <v>5008</v>
      </c>
      <c r="B87" s="360"/>
      <c r="C87" s="361" t="s">
        <v>5009</v>
      </c>
      <c r="D87" s="361"/>
      <c r="E87" s="361"/>
      <c r="F87" s="361"/>
      <c r="G87" s="361"/>
      <c r="H87" s="361"/>
      <c r="I87" s="361"/>
      <c r="J87" s="361"/>
    </row>
  </sheetData>
  <sheetProtection password="EBB1" sheet="1" formatColumns="0" formatRows="0" sort="0" autoFilter="0"/>
  <mergeCells count="20">
    <mergeCell ref="A86:B86"/>
    <mergeCell ref="C86:J86"/>
    <mergeCell ref="A87:B87"/>
    <mergeCell ref="C87:J87"/>
    <mergeCell ref="A83:B83"/>
    <mergeCell ref="C83:J83"/>
    <mergeCell ref="A84:B84"/>
    <mergeCell ref="C84:J84"/>
    <mergeCell ref="A85:B85"/>
    <mergeCell ref="C85:J85"/>
    <mergeCell ref="L8:P11"/>
    <mergeCell ref="A12:J12"/>
    <mergeCell ref="A20:J20"/>
    <mergeCell ref="A74:J74"/>
    <mergeCell ref="A82:J82"/>
    <mergeCell ref="A1:J1"/>
    <mergeCell ref="A2:J2"/>
    <mergeCell ref="A3:B3"/>
    <mergeCell ref="D3:J3"/>
    <mergeCell ref="A5:J5"/>
  </mergeCells>
  <pageMargins left="0.75" right="0.75" top="1" bottom="1" header="0.511811023622047" footer="0.511811023622047"/>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8"/>
  <sheetViews>
    <sheetView topLeftCell="A49" zoomScaleNormal="100" workbookViewId="0">
      <selection activeCell="A2" sqref="A2:L2"/>
    </sheetView>
  </sheetViews>
  <sheetFormatPr defaultColWidth="8.7109375" defaultRowHeight="15" x14ac:dyDescent="0.25"/>
  <cols>
    <col min="1" max="1" width="16" style="15" customWidth="1"/>
    <col min="2" max="2" width="9" style="15" customWidth="1"/>
    <col min="3" max="7" width="10" style="15" customWidth="1"/>
    <col min="8" max="8" width="13" style="15" customWidth="1"/>
    <col min="9" max="23" width="8" style="15" customWidth="1"/>
  </cols>
  <sheetData>
    <row r="1" spans="1:23" ht="15.75" customHeight="1" x14ac:dyDescent="0.25">
      <c r="A1" s="3" t="s">
        <v>5010</v>
      </c>
      <c r="B1" s="3"/>
      <c r="C1" s="3"/>
      <c r="D1" s="3"/>
      <c r="E1" s="3"/>
      <c r="F1" s="3"/>
      <c r="G1" s="3"/>
      <c r="H1" s="3"/>
      <c r="I1" s="3"/>
      <c r="J1" s="3"/>
      <c r="K1" s="3"/>
      <c r="L1" s="3"/>
    </row>
    <row r="2" spans="1:23" ht="60" customHeight="1" x14ac:dyDescent="0.25">
      <c r="A2" s="400" t="s">
        <v>5011</v>
      </c>
      <c r="B2" s="400"/>
      <c r="C2" s="400"/>
      <c r="D2" s="400"/>
      <c r="E2" s="400"/>
      <c r="F2" s="400"/>
      <c r="G2" s="400"/>
      <c r="H2" s="400"/>
      <c r="I2" s="400"/>
      <c r="J2" s="400"/>
      <c r="K2" s="400"/>
      <c r="L2" s="400"/>
    </row>
    <row r="4" spans="1:23" ht="24.75" customHeight="1" x14ac:dyDescent="0.25">
      <c r="A4" s="357" t="s">
        <v>5012</v>
      </c>
      <c r="B4" s="357"/>
      <c r="C4" s="357"/>
      <c r="D4" s="401" t="s">
        <v>5013</v>
      </c>
      <c r="E4" s="401"/>
      <c r="F4" s="401"/>
      <c r="G4" s="401"/>
      <c r="H4" s="401"/>
      <c r="I4" s="401" t="s">
        <v>5014</v>
      </c>
      <c r="J4" s="401"/>
      <c r="K4" s="401"/>
      <c r="L4" s="401"/>
      <c r="M4" s="401"/>
      <c r="N4" s="401" t="s">
        <v>5015</v>
      </c>
      <c r="O4" s="401"/>
      <c r="P4" s="401"/>
      <c r="Q4" s="401"/>
      <c r="R4" s="401"/>
      <c r="S4" s="401" t="s">
        <v>5016</v>
      </c>
      <c r="T4" s="401"/>
      <c r="U4" s="401"/>
      <c r="V4" s="401"/>
      <c r="W4" s="401"/>
    </row>
    <row r="5" spans="1:23" ht="19.5" customHeight="1" x14ac:dyDescent="0.25">
      <c r="A5" s="16" t="s">
        <v>816</v>
      </c>
      <c r="B5" s="16" t="s">
        <v>5017</v>
      </c>
      <c r="C5" s="16" t="s">
        <v>5018</v>
      </c>
      <c r="D5" s="16" t="s">
        <v>5019</v>
      </c>
      <c r="E5" s="16" t="s">
        <v>5020</v>
      </c>
      <c r="F5" s="16" t="s">
        <v>5021</v>
      </c>
      <c r="G5" s="16" t="s">
        <v>5022</v>
      </c>
      <c r="H5" s="16" t="s">
        <v>5023</v>
      </c>
      <c r="I5" s="16" t="s">
        <v>5019</v>
      </c>
      <c r="J5" s="16" t="s">
        <v>5020</v>
      </c>
      <c r="K5" s="16" t="s">
        <v>5021</v>
      </c>
      <c r="L5" s="16" t="s">
        <v>5022</v>
      </c>
      <c r="M5" s="16" t="s">
        <v>5023</v>
      </c>
      <c r="N5" s="16" t="s">
        <v>5019</v>
      </c>
      <c r="O5" s="16" t="s">
        <v>5020</v>
      </c>
      <c r="P5" s="16" t="s">
        <v>5021</v>
      </c>
      <c r="Q5" s="16" t="s">
        <v>5022</v>
      </c>
      <c r="R5" s="16" t="s">
        <v>5023</v>
      </c>
      <c r="S5" s="16" t="s">
        <v>5019</v>
      </c>
      <c r="T5" s="16" t="s">
        <v>5020</v>
      </c>
      <c r="U5" s="16" t="s">
        <v>5021</v>
      </c>
      <c r="V5" s="16" t="s">
        <v>5022</v>
      </c>
      <c r="W5" s="16" t="s">
        <v>5023</v>
      </c>
    </row>
    <row r="6" spans="1:23" ht="16.5" customHeight="1" x14ac:dyDescent="0.25">
      <c r="A6" s="274" t="s">
        <v>165</v>
      </c>
      <c r="B6" s="72" t="s">
        <v>313</v>
      </c>
      <c r="C6" s="305">
        <v>2</v>
      </c>
      <c r="D6" s="306">
        <f>IFERROR(MAX(0,MIN(1,(AVERAGEIFS('2024_2026'!$G$2:$G$976,'2024_2026'!$B$2:$B$976,"L1",'2024_2026'!$F$2:$F$976,0)-AVERAGEIFS('2024_2026'!$G$2:$G$976,'2024_2026'!$B$2:$B$976,"L1",'2024_2026'!$F$2:$F$976,0))/(AVERAGEIFS('2024_2026'!$G$2:$G$976,'2024_2026'!$B$2:$B$976,"L1",'2024_2026'!$F$2:$F$976,0)-$C6))),"")</f>
        <v>0</v>
      </c>
      <c r="E6" s="306">
        <f>IFERROR(MAX(0,MIN(1,(AVERAGEIFS('2024_2026'!$G$2:$G$976,'2024_2026'!$B$2:$B$976,"L1",'2024_2026'!$F$2:$F$976,0)-AVERAGEIFS('2024_2026'!$G$2:$G$976,'2024_2026'!$B$2:$B$976,"L1",'2024_2026'!$F$2:$F$976,4))/(AVERAGEIFS('2024_2026'!$G$2:$G$976,'2024_2026'!$B$2:$B$976,"L1",'2024_2026'!$F$2:$F$976,0)-$C6))),"")</f>
        <v>0.10423940149625899</v>
      </c>
      <c r="F6" s="306">
        <f>IFERROR(MAX(0,MIN(1,(AVERAGEIFS('2024_2026'!$G$2:$G$976,'2024_2026'!$B$2:$B$976,"L1",'2024_2026'!$F$2:$F$976,0)-AVERAGEIFS('2024_2026'!$G$2:$G$976,'2024_2026'!$B$2:$B$976,"L1",'2024_2026'!$F$2:$F$976,8))/(AVERAGEIFS('2024_2026'!$G$2:$G$976,'2024_2026'!$B$2:$B$976,"L1",'2024_2026'!$F$2:$F$976,0)-$C6))),"")</f>
        <v>0.19600997506234399</v>
      </c>
      <c r="G6" s="306">
        <f>IFERROR(MAX(0,MIN(1,(AVERAGEIFS('2024_2026'!$G$2:$G$976,'2024_2026'!$B$2:$B$976,"L1",'2024_2026'!$F$2:$F$976,0)-AVERAGEIFS('2024_2026'!$G$2:$G$976,'2024_2026'!$B$2:$B$976,"L1",'2024_2026'!$F$2:$F$976,12))/(AVERAGEIFS('2024_2026'!$G$2:$G$976,'2024_2026'!$B$2:$B$976,"L1",'2024_2026'!$F$2:$F$976,0)-$C6))),"")</f>
        <v>0.2862842892768081</v>
      </c>
      <c r="H6" s="306">
        <f>IFERROR(MAX(0,MIN(1,(AVERAGEIFS('2024_2026'!$G$2:$G$976,'2024_2026'!$B$2:$B$976,"L1",'2024_2026'!$F$2:$F$976,0)-AVERAGEIFS('2024_2026'!$G$2:$G$976,'2024_2026'!$B$2:$B$976,"L1",'2024_2026'!$F$2:$F$976,21))/(AVERAGEIFS('2024_2026'!$G$2:$G$976,'2024_2026'!$B$2:$B$976,"L1",'2024_2026'!$F$2:$F$976,0)-$C6))),"")</f>
        <v>0.49975062344139659</v>
      </c>
      <c r="I6" s="306">
        <f>IFERROR(MAX(0,MIN(1,(AVERAGEIFS('2024_2026'!$G$2:$G$976,'2024_2026'!$B$2:$B$976,"L2",'2024_2026'!$F$2:$F$976,0)-AVERAGEIFS('2024_2026'!$G$2:$G$976,'2024_2026'!$B$2:$B$976,"L2",'2024_2026'!$F$2:$F$976,0))/(AVERAGEIFS('2024_2026'!$G$2:$G$976,'2024_2026'!$B$2:$B$976,"L2",'2024_2026'!$F$2:$F$976,0)-$C6))),"")</f>
        <v>0</v>
      </c>
      <c r="J6" s="306">
        <f>IFERROR(MAX(0,MIN(1,(AVERAGEIFS('2024_2026'!$G$2:$G$976,'2024_2026'!$B$2:$B$976,"L2",'2024_2026'!$F$2:$F$976,0)-AVERAGEIFS('2024_2026'!$G$2:$G$976,'2024_2026'!$B$2:$B$976,"L2",'2024_2026'!$F$2:$F$976,4))/(AVERAGEIFS('2024_2026'!$G$2:$G$976,'2024_2026'!$B$2:$B$976,"L2",'2024_2026'!$F$2:$F$976,0)-$C6))),"")</f>
        <v>0.14285714285714288</v>
      </c>
      <c r="K6" s="306">
        <f>IFERROR(MAX(0,MIN(1,(AVERAGEIFS('2024_2026'!$G$2:$G$976,'2024_2026'!$B$2:$B$976,"L2",'2024_2026'!$F$2:$F$976,0)-AVERAGEIFS('2024_2026'!$G$2:$G$976,'2024_2026'!$B$2:$B$976,"L2",'2024_2026'!$F$2:$F$976,8))/(AVERAGEIFS('2024_2026'!$G$2:$G$976,'2024_2026'!$B$2:$B$976,"L2",'2024_2026'!$F$2:$F$976,0)-$C6))),"")</f>
        <v>0.307624890446977</v>
      </c>
      <c r="L6" s="306">
        <f>IFERROR(MAX(0,MIN(1,(AVERAGEIFS('2024_2026'!$G$2:$G$976,'2024_2026'!$B$2:$B$976,"L2",'2024_2026'!$F$2:$F$976,0)-AVERAGEIFS('2024_2026'!$G$2:$G$976,'2024_2026'!$B$2:$B$976,"L2",'2024_2026'!$F$2:$F$976,12))/(AVERAGEIFS('2024_2026'!$G$2:$G$976,'2024_2026'!$B$2:$B$976,"L2",'2024_2026'!$F$2:$F$976,0)-$C6))),"")</f>
        <v>0.44697633654688906</v>
      </c>
      <c r="M6" s="306">
        <f>IFERROR(MAX(0,MIN(1,(AVERAGEIFS('2024_2026'!$G$2:$G$976,'2024_2026'!$B$2:$B$976,"L2",'2024_2026'!$F$2:$F$976,0)-AVERAGEIFS('2024_2026'!$G$2:$G$976,'2024_2026'!$B$2:$B$976,"L2",'2024_2026'!$F$2:$F$976,21))/(AVERAGEIFS('2024_2026'!$G$2:$G$976,'2024_2026'!$B$2:$B$976,"L2",'2024_2026'!$F$2:$F$976,0)-$C6))),"")</f>
        <v>0.77870289219982469</v>
      </c>
      <c r="N6" s="306">
        <f>IFERROR(MAX(0,MIN(1,(AVERAGEIFS('2024_2026'!$G$2:$G$976,'2024_2026'!$B$2:$B$976,"L3",'2024_2026'!$F$2:$F$976,0)-AVERAGEIFS('2024_2026'!$G$2:$G$976,'2024_2026'!$B$2:$B$976,"L3",'2024_2026'!$F$2:$F$976,0))/(AVERAGEIFS('2024_2026'!$G$2:$G$976,'2024_2026'!$B$2:$B$976,"L3",'2024_2026'!$F$2:$F$976,0)-$C6))),"")</f>
        <v>0</v>
      </c>
      <c r="O6" s="306">
        <f>IFERROR(MAX(0,MIN(1,(AVERAGEIFS('2024_2026'!$G$2:$G$976,'2024_2026'!$B$2:$B$976,"L3",'2024_2026'!$F$2:$F$976,0)-AVERAGEIFS('2024_2026'!$G$2:$G$976,'2024_2026'!$B$2:$B$976,"L3",'2024_2026'!$F$2:$F$976,4))/(AVERAGEIFS('2024_2026'!$G$2:$G$976,'2024_2026'!$B$2:$B$976,"L3",'2024_2026'!$F$2:$F$976,0)-$C6))),"")</f>
        <v>0.15905511811023601</v>
      </c>
      <c r="P6" s="306">
        <f>IFERROR(MAX(0,MIN(1,(AVERAGEIFS('2024_2026'!$G$2:$G$976,'2024_2026'!$B$2:$B$976,"L3",'2024_2026'!$F$2:$F$976,0)-AVERAGEIFS('2024_2026'!$G$2:$G$976,'2024_2026'!$B$2:$B$976,"L3",'2024_2026'!$F$2:$F$976,8))/(AVERAGEIFS('2024_2026'!$G$2:$G$976,'2024_2026'!$B$2:$B$976,"L3",'2024_2026'!$F$2:$F$976,0)-$C6))),"")</f>
        <v>0.31548556430446223</v>
      </c>
      <c r="Q6" s="306">
        <f>IFERROR(MAX(0,MIN(1,(AVERAGEIFS('2024_2026'!$G$2:$G$976,'2024_2026'!$B$2:$B$976,"L3",'2024_2026'!$F$2:$F$976,0)-AVERAGEIFS('2024_2026'!$G$2:$G$976,'2024_2026'!$B$2:$B$976,"L3",'2024_2026'!$F$2:$F$976,12))/(AVERAGEIFS('2024_2026'!$G$2:$G$976,'2024_2026'!$B$2:$B$976,"L3",'2024_2026'!$F$2:$F$976,0)-$C6))),"")</f>
        <v>0.4661417322834645</v>
      </c>
      <c r="R6" s="306">
        <f>IFERROR(MAX(0,MIN(1,(AVERAGEIFS('2024_2026'!$G$2:$G$976,'2024_2026'!$B$2:$B$976,"L3",'2024_2026'!$F$2:$F$976,0)-AVERAGEIFS('2024_2026'!$G$2:$G$976,'2024_2026'!$B$2:$B$976,"L3",'2024_2026'!$F$2:$F$976,21))/(AVERAGEIFS('2024_2026'!$G$2:$G$976,'2024_2026'!$B$2:$B$976,"L3",'2024_2026'!$F$2:$F$976,0)-$C6))),"")</f>
        <v>0.81942257217847803</v>
      </c>
      <c r="S6" s="306">
        <f>IFERROR(MAX(0,MIN(1,(AVERAGEIFS('2024_2026'!$G$2:$G$976,'2024_2026'!$B$2:$B$976,"S",'2024_2026'!$F$2:$F$976,0)-AVERAGEIFS('2024_2026'!$G$2:$G$976,'2024_2026'!$B$2:$B$976,"S",'2024_2026'!$F$2:$F$976,0))/(AVERAGEIFS('2024_2026'!$G$2:$G$976,'2024_2026'!$B$2:$B$976,"S",'2024_2026'!$F$2:$F$976,0)-$C6))),"")</f>
        <v>0</v>
      </c>
      <c r="T6" s="306">
        <f>IFERROR(MAX(0,MIN(1,(AVERAGEIFS('2024_2026'!$G$2:$G$976,'2024_2026'!$B$2:$B$976,"S",'2024_2026'!$F$2:$F$976,0)-AVERAGEIFS('2024_2026'!$G$2:$G$976,'2024_2026'!$B$2:$B$976,"S",'2024_2026'!$F$2:$F$976,4))/(AVERAGEIFS('2024_2026'!$G$2:$G$976,'2024_2026'!$B$2:$B$976,"S",'2024_2026'!$F$2:$F$976,0)-$C6))),"")</f>
        <v>6.9802731411228586E-2</v>
      </c>
      <c r="U6" s="306">
        <f>IFERROR(MAX(0,MIN(1,(AVERAGEIFS('2024_2026'!$G$2:$G$976,'2024_2026'!$B$2:$B$976,"S",'2024_2026'!$F$2:$F$976,0)-AVERAGEIFS('2024_2026'!$G$2:$G$976,'2024_2026'!$B$2:$B$976,"S",'2024_2026'!$F$2:$F$976,8))/(AVERAGEIFS('2024_2026'!$G$2:$G$976,'2024_2026'!$B$2:$B$976,"S",'2024_2026'!$F$2:$F$976,0)-$C6))),"")</f>
        <v>0.14264036418816392</v>
      </c>
      <c r="V6" s="306">
        <f>IFERROR(MAX(0,MIN(1,(AVERAGEIFS('2024_2026'!$G$2:$G$976,'2024_2026'!$B$2:$B$976,"S",'2024_2026'!$F$2:$F$976,0)-AVERAGEIFS('2024_2026'!$G$2:$G$976,'2024_2026'!$B$2:$B$976,"S",'2024_2026'!$F$2:$F$976,12))/(AVERAGEIFS('2024_2026'!$G$2:$G$976,'2024_2026'!$B$2:$B$976,"S",'2024_2026'!$F$2:$F$976,0)-$C6))),"")</f>
        <v>0.21153262518968075</v>
      </c>
      <c r="W6" s="306">
        <f>IFERROR(MAX(0,MIN(1,(AVERAGEIFS('2024_2026'!$G$2:$G$976,'2024_2026'!$B$2:$B$976,"S",'2024_2026'!$F$2:$F$976,0)-AVERAGEIFS('2024_2026'!$G$2:$G$976,'2024_2026'!$B$2:$B$976,"S",'2024_2026'!$F$2:$F$976,21))/(AVERAGEIFS('2024_2026'!$G$2:$G$976,'2024_2026'!$B$2:$B$976,"S",'2024_2026'!$F$2:$F$976,0)-$C6))),"")</f>
        <v>0.36661608497723791</v>
      </c>
    </row>
    <row r="7" spans="1:23" ht="16.5" customHeight="1" x14ac:dyDescent="0.25">
      <c r="A7" s="274" t="s">
        <v>172</v>
      </c>
      <c r="B7" s="72" t="s">
        <v>313</v>
      </c>
      <c r="C7" s="305">
        <v>25</v>
      </c>
      <c r="D7" s="306">
        <f>IFERROR(MAX(0,MIN(1,(AVERAGEIFS('2024_2026'!$H$2:$H$976,'2024_2026'!$B$2:$B$976,"L1",'2024_2026'!$F$2:$F$976,0)-AVERAGEIFS('2024_2026'!$H$2:$H$976,'2024_2026'!$B$2:$B$976,"L1",'2024_2026'!$F$2:$F$976,0))/(AVERAGEIFS('2024_2026'!$H$2:$H$976,'2024_2026'!$B$2:$B$976,"L1",'2024_2026'!$F$2:$F$976,0)-$C7))),"")</f>
        <v>0</v>
      </c>
      <c r="E7" s="306">
        <f>IFERROR(MAX(0,MIN(1,(AVERAGEIFS('2024_2026'!$H$2:$H$976,'2024_2026'!$B$2:$B$976,"L1",'2024_2026'!$F$2:$F$976,0)-AVERAGEIFS('2024_2026'!$H$2:$H$976,'2024_2026'!$B$2:$B$976,"L1",'2024_2026'!$F$2:$F$976,4))/(AVERAGEIFS('2024_2026'!$H$2:$H$976,'2024_2026'!$B$2:$B$976,"L1",'2024_2026'!$F$2:$F$976,0)-$C7))),"")</f>
        <v>8.2051282051282065E-2</v>
      </c>
      <c r="F7" s="306">
        <f>IFERROR(MAX(0,MIN(1,(AVERAGEIFS('2024_2026'!$H$2:$H$976,'2024_2026'!$B$2:$B$976,"L1",'2024_2026'!$F$2:$F$976,0)-AVERAGEIFS('2024_2026'!$H$2:$H$976,'2024_2026'!$B$2:$B$976,"L1",'2024_2026'!$F$2:$F$976,8))/(AVERAGEIFS('2024_2026'!$H$2:$H$976,'2024_2026'!$B$2:$B$976,"L1",'2024_2026'!$F$2:$F$976,0)-$C7))),"")</f>
        <v>0.16205128205128225</v>
      </c>
      <c r="G7" s="306">
        <f>IFERROR(MAX(0,MIN(1,(AVERAGEIFS('2024_2026'!$H$2:$H$976,'2024_2026'!$B$2:$B$976,"L1",'2024_2026'!$F$2:$F$976,0)-AVERAGEIFS('2024_2026'!$H$2:$H$976,'2024_2026'!$B$2:$B$976,"L1",'2024_2026'!$F$2:$F$976,12))/(AVERAGEIFS('2024_2026'!$H$2:$H$976,'2024_2026'!$B$2:$B$976,"L1",'2024_2026'!$F$2:$F$976,0)-$C7))),"")</f>
        <v>0.26256410256410256</v>
      </c>
      <c r="H7" s="306">
        <f>IFERROR(MAX(0,MIN(1,(AVERAGEIFS('2024_2026'!$H$2:$H$976,'2024_2026'!$B$2:$B$976,"L1",'2024_2026'!$F$2:$F$976,0)-AVERAGEIFS('2024_2026'!$H$2:$H$976,'2024_2026'!$B$2:$B$976,"L1",'2024_2026'!$F$2:$F$976,21))/(AVERAGEIFS('2024_2026'!$H$2:$H$976,'2024_2026'!$B$2:$B$976,"L1",'2024_2026'!$F$2:$F$976,0)-$C7))),"")</f>
        <v>0.4523076923076923</v>
      </c>
      <c r="I7" s="306">
        <f>IFERROR(MAX(0,MIN(1,(AVERAGEIFS('2024_2026'!$H$2:$H$976,'2024_2026'!$B$2:$B$976,"L2",'2024_2026'!$F$2:$F$976,0)-AVERAGEIFS('2024_2026'!$H$2:$H$976,'2024_2026'!$B$2:$B$976,"L2",'2024_2026'!$F$2:$F$976,0))/(AVERAGEIFS('2024_2026'!$H$2:$H$976,'2024_2026'!$B$2:$B$976,"L2",'2024_2026'!$F$2:$F$976,0)-$C7))),"")</f>
        <v>0</v>
      </c>
      <c r="J7" s="306">
        <f>IFERROR(MAX(0,MIN(1,(AVERAGEIFS('2024_2026'!$H$2:$H$976,'2024_2026'!$B$2:$B$976,"L2",'2024_2026'!$F$2:$F$976,0)-AVERAGEIFS('2024_2026'!$H$2:$H$976,'2024_2026'!$B$2:$B$976,"L2",'2024_2026'!$F$2:$F$976,4))/(AVERAGEIFS('2024_2026'!$H$2:$H$976,'2024_2026'!$B$2:$B$976,"L2",'2024_2026'!$F$2:$F$976,0)-$C7))),"")</f>
        <v>0.15653040877367905</v>
      </c>
      <c r="K7" s="306">
        <f>IFERROR(MAX(0,MIN(1,(AVERAGEIFS('2024_2026'!$H$2:$H$976,'2024_2026'!$B$2:$B$976,"L2",'2024_2026'!$F$2:$F$976,0)-AVERAGEIFS('2024_2026'!$H$2:$H$976,'2024_2026'!$B$2:$B$976,"L2",'2024_2026'!$F$2:$F$976,8))/(AVERAGEIFS('2024_2026'!$H$2:$H$976,'2024_2026'!$B$2:$B$976,"L2",'2024_2026'!$F$2:$F$976,0)-$C7))),"")</f>
        <v>0.29810568295114664</v>
      </c>
      <c r="L7" s="306">
        <f>IFERROR(MAX(0,MIN(1,(AVERAGEIFS('2024_2026'!$H$2:$H$976,'2024_2026'!$B$2:$B$976,"L2",'2024_2026'!$F$2:$F$976,0)-AVERAGEIFS('2024_2026'!$H$2:$H$976,'2024_2026'!$B$2:$B$976,"L2",'2024_2026'!$F$2:$F$976,12))/(AVERAGEIFS('2024_2026'!$H$2:$H$976,'2024_2026'!$B$2:$B$976,"L2",'2024_2026'!$F$2:$F$976,0)-$C7))),"")</f>
        <v>0.44566301096709865</v>
      </c>
      <c r="M7" s="306">
        <f>IFERROR(MAX(0,MIN(1,(AVERAGEIFS('2024_2026'!$H$2:$H$976,'2024_2026'!$B$2:$B$976,"L2",'2024_2026'!$F$2:$F$976,0)-AVERAGEIFS('2024_2026'!$H$2:$H$976,'2024_2026'!$B$2:$B$976,"L2",'2024_2026'!$F$2:$F$976,21))/(AVERAGEIFS('2024_2026'!$H$2:$H$976,'2024_2026'!$B$2:$B$976,"L2",'2024_2026'!$F$2:$F$976,0)-$C7))),"")</f>
        <v>0.80259222333001001</v>
      </c>
      <c r="N7" s="306">
        <f>IFERROR(MAX(0,MIN(1,(AVERAGEIFS('2024_2026'!$H$2:$H$976,'2024_2026'!$B$2:$B$976,"L3",'2024_2026'!$F$2:$F$976,0)-AVERAGEIFS('2024_2026'!$H$2:$H$976,'2024_2026'!$B$2:$B$976,"L3",'2024_2026'!$F$2:$F$976,0))/(AVERAGEIFS('2024_2026'!$H$2:$H$976,'2024_2026'!$B$2:$B$976,"L3",'2024_2026'!$F$2:$F$976,0)-$C7))),"")</f>
        <v>0</v>
      </c>
      <c r="O7" s="306">
        <f>IFERROR(MAX(0,MIN(1,(AVERAGEIFS('2024_2026'!$H$2:$H$976,'2024_2026'!$B$2:$B$976,"L3",'2024_2026'!$F$2:$F$976,0)-AVERAGEIFS('2024_2026'!$H$2:$H$976,'2024_2026'!$B$2:$B$976,"L3",'2024_2026'!$F$2:$F$976,4))/(AVERAGEIFS('2024_2026'!$H$2:$H$976,'2024_2026'!$B$2:$B$976,"L3",'2024_2026'!$F$2:$F$976,0)-$C7))),"")</f>
        <v>0.17602040816326539</v>
      </c>
      <c r="P7" s="306">
        <f>IFERROR(MAX(0,MIN(1,(AVERAGEIFS('2024_2026'!$H$2:$H$976,'2024_2026'!$B$2:$B$976,"L3",'2024_2026'!$F$2:$F$976,0)-AVERAGEIFS('2024_2026'!$H$2:$H$976,'2024_2026'!$B$2:$B$976,"L3",'2024_2026'!$F$2:$F$976,8))/(AVERAGEIFS('2024_2026'!$H$2:$H$976,'2024_2026'!$B$2:$B$976,"L3",'2024_2026'!$F$2:$F$976,0)-$C7))),"")</f>
        <v>0.34948979591836715</v>
      </c>
      <c r="Q7" s="306">
        <f>IFERROR(MAX(0,MIN(1,(AVERAGEIFS('2024_2026'!$H$2:$H$976,'2024_2026'!$B$2:$B$976,"L3",'2024_2026'!$F$2:$F$976,0)-AVERAGEIFS('2024_2026'!$H$2:$H$976,'2024_2026'!$B$2:$B$976,"L3",'2024_2026'!$F$2:$F$976,12))/(AVERAGEIFS('2024_2026'!$H$2:$H$976,'2024_2026'!$B$2:$B$976,"L3",'2024_2026'!$F$2:$F$976,0)-$C7))),"")</f>
        <v>0.51147959183673486</v>
      </c>
      <c r="R7" s="306">
        <f>IFERROR(MAX(0,MIN(1,(AVERAGEIFS('2024_2026'!$H$2:$H$976,'2024_2026'!$B$2:$B$976,"L3",'2024_2026'!$F$2:$F$976,0)-AVERAGEIFS('2024_2026'!$H$2:$H$976,'2024_2026'!$B$2:$B$976,"L3",'2024_2026'!$F$2:$F$976,21))/(AVERAGEIFS('2024_2026'!$H$2:$H$976,'2024_2026'!$B$2:$B$976,"L3",'2024_2026'!$F$2:$F$976,0)-$C7))),"")</f>
        <v>0.90561224489795922</v>
      </c>
      <c r="S7" s="306">
        <f>IFERROR(MAX(0,MIN(1,(AVERAGEIFS('2024_2026'!$H$2:$H$976,'2024_2026'!$B$2:$B$976,"S",'2024_2026'!$F$2:$F$976,0)-AVERAGEIFS('2024_2026'!$H$2:$H$976,'2024_2026'!$B$2:$B$976,"S",'2024_2026'!$F$2:$F$976,0))/(AVERAGEIFS('2024_2026'!$H$2:$H$976,'2024_2026'!$B$2:$B$976,"S",'2024_2026'!$F$2:$F$976,0)-$C7))),"")</f>
        <v>0</v>
      </c>
      <c r="T7" s="306">
        <f>IFERROR(MAX(0,MIN(1,(AVERAGEIFS('2024_2026'!$H$2:$H$976,'2024_2026'!$B$2:$B$976,"S",'2024_2026'!$F$2:$F$976,0)-AVERAGEIFS('2024_2026'!$H$2:$H$976,'2024_2026'!$B$2:$B$976,"S",'2024_2026'!$F$2:$F$976,4))/(AVERAGEIFS('2024_2026'!$H$2:$H$976,'2024_2026'!$B$2:$B$976,"S",'2024_2026'!$F$2:$F$976,0)-$C7))),"")</f>
        <v>3.7946428571428714E-2</v>
      </c>
      <c r="U7" s="306">
        <f>IFERROR(MAX(0,MIN(1,(AVERAGEIFS('2024_2026'!$H$2:$H$976,'2024_2026'!$B$2:$B$976,"S",'2024_2026'!$F$2:$F$976,0)-AVERAGEIFS('2024_2026'!$H$2:$H$976,'2024_2026'!$B$2:$B$976,"S",'2024_2026'!$F$2:$F$976,8))/(AVERAGEIFS('2024_2026'!$H$2:$H$976,'2024_2026'!$B$2:$B$976,"S",'2024_2026'!$F$2:$F$976,0)-$C7))),"")</f>
        <v>9.2261904761904975E-2</v>
      </c>
      <c r="V7" s="306">
        <f>IFERROR(MAX(0,MIN(1,(AVERAGEIFS('2024_2026'!$H$2:$H$976,'2024_2026'!$B$2:$B$976,"S",'2024_2026'!$F$2:$F$976,0)-AVERAGEIFS('2024_2026'!$H$2:$H$976,'2024_2026'!$B$2:$B$976,"S",'2024_2026'!$F$2:$F$976,12))/(AVERAGEIFS('2024_2026'!$H$2:$H$976,'2024_2026'!$B$2:$B$976,"S",'2024_2026'!$F$2:$F$976,0)-$C7))),"")</f>
        <v>0.15104166666666669</v>
      </c>
      <c r="W7" s="306">
        <f>IFERROR(MAX(0,MIN(1,(AVERAGEIFS('2024_2026'!$H$2:$H$976,'2024_2026'!$B$2:$B$976,"S",'2024_2026'!$F$2:$F$976,0)-AVERAGEIFS('2024_2026'!$H$2:$H$976,'2024_2026'!$B$2:$B$976,"S",'2024_2026'!$F$2:$F$976,21))/(AVERAGEIFS('2024_2026'!$H$2:$H$976,'2024_2026'!$B$2:$B$976,"S",'2024_2026'!$F$2:$F$976,0)-$C7))),"")</f>
        <v>0.24851190476190491</v>
      </c>
    </row>
    <row r="8" spans="1:23" ht="16.5" customHeight="1" x14ac:dyDescent="0.25">
      <c r="A8" s="274" t="s">
        <v>412</v>
      </c>
      <c r="B8" s="72" t="s">
        <v>313</v>
      </c>
      <c r="C8" s="305">
        <v>1.5</v>
      </c>
      <c r="D8" s="306">
        <f>IFERROR(MAX(0,MIN(1,(AVERAGEIFS('2024_2026'!$I$2:$I$976,'2024_2026'!$B$2:$B$976,"L1",'2024_2026'!$F$2:$F$976,0)-AVERAGEIFS('2024_2026'!$I$2:$I$976,'2024_2026'!$B$2:$B$976,"L1",'2024_2026'!$F$2:$F$976,0))/(AVERAGEIFS('2024_2026'!$I$2:$I$976,'2024_2026'!$B$2:$B$976,"L1",'2024_2026'!$F$2:$F$976,0)-$C8))),"")</f>
        <v>0</v>
      </c>
      <c r="E8" s="306">
        <f>IFERROR(MAX(0,MIN(1,(AVERAGEIFS('2024_2026'!$I$2:$I$976,'2024_2026'!$B$2:$B$976,"L1",'2024_2026'!$F$2:$F$976,0)-AVERAGEIFS('2024_2026'!$I$2:$I$976,'2024_2026'!$B$2:$B$976,"L1",'2024_2026'!$F$2:$F$976,4))/(AVERAGEIFS('2024_2026'!$I$2:$I$976,'2024_2026'!$B$2:$B$976,"L1",'2024_2026'!$F$2:$F$976,0)-$C8))),"")</f>
        <v>8.1389639086667895E-2</v>
      </c>
      <c r="F8" s="306">
        <f>IFERROR(MAX(0,MIN(1,(AVERAGEIFS('2024_2026'!$I$2:$I$976,'2024_2026'!$B$2:$B$976,"L1",'2024_2026'!$F$2:$F$976,0)-AVERAGEIFS('2024_2026'!$I$2:$I$976,'2024_2026'!$B$2:$B$976,"L1",'2024_2026'!$F$2:$F$976,8))/(AVERAGEIFS('2024_2026'!$I$2:$I$976,'2024_2026'!$B$2:$B$976,"L1",'2024_2026'!$F$2:$F$976,0)-$C8))),"")</f>
        <v>0.17395040510680088</v>
      </c>
      <c r="G8" s="306">
        <f>IFERROR(MAX(0,MIN(1,(AVERAGEIFS('2024_2026'!$I$2:$I$976,'2024_2026'!$B$2:$B$976,"L1",'2024_2026'!$F$2:$F$976,0)-AVERAGEIFS('2024_2026'!$I$2:$I$976,'2024_2026'!$B$2:$B$976,"L1",'2024_2026'!$F$2:$F$976,12))/(AVERAGEIFS('2024_2026'!$I$2:$I$976,'2024_2026'!$B$2:$B$976,"L1",'2024_2026'!$F$2:$F$976,0)-$C8))),"")</f>
        <v>0.26012767002209725</v>
      </c>
      <c r="H8" s="306">
        <f>IFERROR(MAX(0,MIN(1,(AVERAGEIFS('2024_2026'!$I$2:$I$976,'2024_2026'!$B$2:$B$976,"L1",'2024_2026'!$F$2:$F$976,0)-AVERAGEIFS('2024_2026'!$I$2:$I$976,'2024_2026'!$B$2:$B$976,"L1",'2024_2026'!$F$2:$F$976,21))/(AVERAGEIFS('2024_2026'!$I$2:$I$976,'2024_2026'!$B$2:$B$976,"L1",'2024_2026'!$F$2:$F$976,0)-$C8))),"")</f>
        <v>0.45691136754235179</v>
      </c>
      <c r="I8" s="306">
        <f>IFERROR(MAX(0,MIN(1,(AVERAGEIFS('2024_2026'!$I$2:$I$976,'2024_2026'!$B$2:$B$976,"L2",'2024_2026'!$F$2:$F$976,0)-AVERAGEIFS('2024_2026'!$I$2:$I$976,'2024_2026'!$B$2:$B$976,"L2",'2024_2026'!$F$2:$F$976,0))/(AVERAGEIFS('2024_2026'!$I$2:$I$976,'2024_2026'!$B$2:$B$976,"L2",'2024_2026'!$F$2:$F$976,0)-$C8))),"")</f>
        <v>0</v>
      </c>
      <c r="J8" s="306">
        <f>IFERROR(MAX(0,MIN(1,(AVERAGEIFS('2024_2026'!$I$2:$I$976,'2024_2026'!$B$2:$B$976,"L2",'2024_2026'!$F$2:$F$976,0)-AVERAGEIFS('2024_2026'!$I$2:$I$976,'2024_2026'!$B$2:$B$976,"L2",'2024_2026'!$F$2:$F$976,4))/(AVERAGEIFS('2024_2026'!$I$2:$I$976,'2024_2026'!$B$2:$B$976,"L2",'2024_2026'!$F$2:$F$976,0)-$C8))),"")</f>
        <v>0.1514110956111171</v>
      </c>
      <c r="K8" s="306">
        <f>IFERROR(MAX(0,MIN(1,(AVERAGEIFS('2024_2026'!$I$2:$I$976,'2024_2026'!$B$2:$B$976,"L2",'2024_2026'!$F$2:$F$976,0)-AVERAGEIFS('2024_2026'!$I$2:$I$976,'2024_2026'!$B$2:$B$976,"L2",'2024_2026'!$F$2:$F$976,8))/(AVERAGEIFS('2024_2026'!$I$2:$I$976,'2024_2026'!$B$2:$B$976,"L2",'2024_2026'!$F$2:$F$976,0)-$C8))),"")</f>
        <v>0.30883141968022371</v>
      </c>
      <c r="L8" s="306">
        <f>IFERROR(MAX(0,MIN(1,(AVERAGEIFS('2024_2026'!$I$2:$I$976,'2024_2026'!$B$2:$B$976,"L2",'2024_2026'!$F$2:$F$976,0)-AVERAGEIFS('2024_2026'!$I$2:$I$976,'2024_2026'!$B$2:$B$976,"L2",'2024_2026'!$F$2:$F$976,12))/(AVERAGEIFS('2024_2026'!$I$2:$I$976,'2024_2026'!$B$2:$B$976,"L2",'2024_2026'!$F$2:$F$976,0)-$C8))),"")</f>
        <v>0.45519905569267083</v>
      </c>
      <c r="M8" s="306">
        <f>IFERROR(MAX(0,MIN(1,(AVERAGEIFS('2024_2026'!$I$2:$I$976,'2024_2026'!$B$2:$B$976,"L2",'2024_2026'!$F$2:$F$976,0)-AVERAGEIFS('2024_2026'!$I$2:$I$976,'2024_2026'!$B$2:$B$976,"L2",'2024_2026'!$F$2:$F$976,21))/(AVERAGEIFS('2024_2026'!$I$2:$I$976,'2024_2026'!$B$2:$B$976,"L2",'2024_2026'!$F$2:$F$976,0)-$C8))),"")</f>
        <v>0.80437815216224917</v>
      </c>
      <c r="N8" s="306">
        <f>IFERROR(MAX(0,MIN(1,(AVERAGEIFS('2024_2026'!$I$2:$I$976,'2024_2026'!$B$2:$B$976,"L3",'2024_2026'!$F$2:$F$976,0)-AVERAGEIFS('2024_2026'!$I$2:$I$976,'2024_2026'!$B$2:$B$976,"L3",'2024_2026'!$F$2:$F$976,0))/(AVERAGEIFS('2024_2026'!$I$2:$I$976,'2024_2026'!$B$2:$B$976,"L3",'2024_2026'!$F$2:$F$976,0)-$C8))),"")</f>
        <v>0</v>
      </c>
      <c r="O8" s="306">
        <f>IFERROR(MAX(0,MIN(1,(AVERAGEIFS('2024_2026'!$I$2:$I$976,'2024_2026'!$B$2:$B$976,"L3",'2024_2026'!$F$2:$F$976,0)-AVERAGEIFS('2024_2026'!$I$2:$I$976,'2024_2026'!$B$2:$B$976,"L3",'2024_2026'!$F$2:$F$976,4))/(AVERAGEIFS('2024_2026'!$I$2:$I$976,'2024_2026'!$B$2:$B$976,"L3",'2024_2026'!$F$2:$F$976,0)-$C8))),"")</f>
        <v>0.1681251657385312</v>
      </c>
      <c r="P8" s="306">
        <f>IFERROR(MAX(0,MIN(1,(AVERAGEIFS('2024_2026'!$I$2:$I$976,'2024_2026'!$B$2:$B$976,"L3",'2024_2026'!$F$2:$F$976,0)-AVERAGEIFS('2024_2026'!$I$2:$I$976,'2024_2026'!$B$2:$B$976,"L3",'2024_2026'!$F$2:$F$976,8))/(AVERAGEIFS('2024_2026'!$I$2:$I$976,'2024_2026'!$B$2:$B$976,"L3",'2024_2026'!$F$2:$F$976,0)-$C8))),"")</f>
        <v>0.32604083797401223</v>
      </c>
      <c r="Q8" s="306">
        <f>IFERROR(MAX(0,MIN(1,(AVERAGEIFS('2024_2026'!$I$2:$I$976,'2024_2026'!$B$2:$B$976,"L3",'2024_2026'!$F$2:$F$976,0)-AVERAGEIFS('2024_2026'!$I$2:$I$976,'2024_2026'!$B$2:$B$976,"L3",'2024_2026'!$F$2:$F$976,12))/(AVERAGEIFS('2024_2026'!$I$2:$I$976,'2024_2026'!$B$2:$B$976,"L3",'2024_2026'!$F$2:$F$976,0)-$C8))),"")</f>
        <v>0.49217714134181928</v>
      </c>
      <c r="R8" s="306">
        <f>IFERROR(MAX(0,MIN(1,(AVERAGEIFS('2024_2026'!$I$2:$I$976,'2024_2026'!$B$2:$B$976,"L3",'2024_2026'!$F$2:$F$976,0)-AVERAGEIFS('2024_2026'!$I$2:$I$976,'2024_2026'!$B$2:$B$976,"L3",'2024_2026'!$F$2:$F$976,21))/(AVERAGEIFS('2024_2026'!$I$2:$I$976,'2024_2026'!$B$2:$B$976,"L3",'2024_2026'!$F$2:$F$976,0)-$C8))),"")</f>
        <v>0.86953062848050922</v>
      </c>
      <c r="S8" s="306">
        <f>IFERROR(MAX(0,MIN(1,(AVERAGEIFS('2024_2026'!$I$2:$I$976,'2024_2026'!$B$2:$B$976,"S",'2024_2026'!$F$2:$F$976,0)-AVERAGEIFS('2024_2026'!$I$2:$I$976,'2024_2026'!$B$2:$B$976,"S",'2024_2026'!$F$2:$F$976,0))/(AVERAGEIFS('2024_2026'!$I$2:$I$976,'2024_2026'!$B$2:$B$976,"S",'2024_2026'!$F$2:$F$976,0)-$C8))),"")</f>
        <v>0</v>
      </c>
      <c r="T8" s="306">
        <f>IFERROR(MAX(0,MIN(1,(AVERAGEIFS('2024_2026'!$I$2:$I$976,'2024_2026'!$B$2:$B$976,"S",'2024_2026'!$F$2:$F$976,0)-AVERAGEIFS('2024_2026'!$I$2:$I$976,'2024_2026'!$B$2:$B$976,"S",'2024_2026'!$F$2:$F$976,4))/(AVERAGEIFS('2024_2026'!$I$2:$I$976,'2024_2026'!$B$2:$B$976,"S",'2024_2026'!$F$2:$F$976,0)-$C8))),"")</f>
        <v>4.7048313853941641E-2</v>
      </c>
      <c r="U8" s="306">
        <f>IFERROR(MAX(0,MIN(1,(AVERAGEIFS('2024_2026'!$I$2:$I$976,'2024_2026'!$B$2:$B$976,"S",'2024_2026'!$F$2:$F$976,0)-AVERAGEIFS('2024_2026'!$I$2:$I$976,'2024_2026'!$B$2:$B$976,"S",'2024_2026'!$F$2:$F$976,8))/(AVERAGEIFS('2024_2026'!$I$2:$I$976,'2024_2026'!$B$2:$B$976,"S",'2024_2026'!$F$2:$F$976,0)-$C8))),"")</f>
        <v>0.10027544107794173</v>
      </c>
      <c r="V8" s="306">
        <f>IFERROR(MAX(0,MIN(1,(AVERAGEIFS('2024_2026'!$I$2:$I$976,'2024_2026'!$B$2:$B$976,"S",'2024_2026'!$F$2:$F$976,0)-AVERAGEIFS('2024_2026'!$I$2:$I$976,'2024_2026'!$B$2:$B$976,"S",'2024_2026'!$F$2:$F$976,12))/(AVERAGEIFS('2024_2026'!$I$2:$I$976,'2024_2026'!$B$2:$B$976,"S",'2024_2026'!$F$2:$F$976,0)-$C8))),"")</f>
        <v>0.14799374674309596</v>
      </c>
      <c r="W8" s="306">
        <f>IFERROR(MAX(0,MIN(1,(AVERAGEIFS('2024_2026'!$I$2:$I$976,'2024_2026'!$B$2:$B$976,"S",'2024_2026'!$F$2:$F$976,0)-AVERAGEIFS('2024_2026'!$I$2:$I$976,'2024_2026'!$B$2:$B$976,"S",'2024_2026'!$F$2:$F$976,21))/(AVERAGEIFS('2024_2026'!$I$2:$I$976,'2024_2026'!$B$2:$B$976,"S",'2024_2026'!$F$2:$F$976,0)-$C8))),"")</f>
        <v>0.26233901585647329</v>
      </c>
    </row>
    <row r="9" spans="1:23" ht="16.5" customHeight="1" x14ac:dyDescent="0.25">
      <c r="A9" s="274" t="s">
        <v>200</v>
      </c>
      <c r="B9" s="72" t="s">
        <v>5024</v>
      </c>
      <c r="C9" s="305">
        <v>130</v>
      </c>
      <c r="D9" s="306">
        <f>IFERROR(MAX(0,MIN(1,(AVERAGEIFS('2024_2026'!$J$2:$J$976,'2024_2026'!$B$2:$B$976,"L1",'2024_2026'!$F$2:$F$976,0)-AVERAGEIFS('2024_2026'!$J$2:$J$976,'2024_2026'!$B$2:$B$976,"L1",'2024_2026'!$F$2:$F$976,0))/($C9-AVERAGEIFS('2024_2026'!$J$2:$J$976,'2024_2026'!$B$2:$B$976,"L1",'2024_2026'!$F$2:$F$976,0)))),"")</f>
        <v>0</v>
      </c>
      <c r="E9" s="306">
        <f>IFERROR(MAX(0,MIN(1,(AVERAGEIFS('2024_2026'!$J$2:$J$976,'2024_2026'!$B$2:$B$976,"L1",'2024_2026'!$F$2:$F$976,4)-AVERAGEIFS('2024_2026'!$J$2:$J$976,'2024_2026'!$B$2:$B$976,"L1",'2024_2026'!$F$2:$F$976,0))/($C9-AVERAGEIFS('2024_2026'!$J$2:$J$976,'2024_2026'!$B$2:$B$976,"L1",'2024_2026'!$F$2:$F$976,0)))),"")</f>
        <v>8.5329341317365082E-2</v>
      </c>
      <c r="F9" s="306">
        <f>IFERROR(MAX(0,MIN(1,(AVERAGEIFS('2024_2026'!$J$2:$J$976,'2024_2026'!$B$2:$B$976,"L1",'2024_2026'!$F$2:$F$976,8)-AVERAGEIFS('2024_2026'!$J$2:$J$976,'2024_2026'!$B$2:$B$976,"L1",'2024_2026'!$F$2:$F$976,0))/($C9-AVERAGEIFS('2024_2026'!$J$2:$J$976,'2024_2026'!$B$2:$B$976,"L1",'2024_2026'!$F$2:$F$976,0)))),"")</f>
        <v>0.15868263473053904</v>
      </c>
      <c r="G9" s="306">
        <f>IFERROR(MAX(0,MIN(1,(AVERAGEIFS('2024_2026'!$J$2:$J$976,'2024_2026'!$B$2:$B$976,"L1",'2024_2026'!$F$2:$F$976,12)-AVERAGEIFS('2024_2026'!$J$2:$J$976,'2024_2026'!$B$2:$B$976,"L1",'2024_2026'!$F$2:$F$976,0))/($C9-AVERAGEIFS('2024_2026'!$J$2:$J$976,'2024_2026'!$B$2:$B$976,"L1",'2024_2026'!$F$2:$F$976,0)))),"")</f>
        <v>0.23727544910179652</v>
      </c>
      <c r="H9" s="306">
        <f>IFERROR(MAX(0,MIN(1,(AVERAGEIFS('2024_2026'!$J$2:$J$976,'2024_2026'!$B$2:$B$976,"L1",'2024_2026'!$F$2:$F$976,21)-AVERAGEIFS('2024_2026'!$J$2:$J$976,'2024_2026'!$B$2:$B$976,"L1",'2024_2026'!$F$2:$F$976,0))/($C9-AVERAGEIFS('2024_2026'!$J$2:$J$976,'2024_2026'!$B$2:$B$976,"L1",'2024_2026'!$F$2:$F$976,0)))),"")</f>
        <v>0.44910179640718584</v>
      </c>
      <c r="I9" s="306">
        <f>IFERROR(MAX(0,MIN(1,(AVERAGEIFS('2024_2026'!$J$2:$J$976,'2024_2026'!$B$2:$B$976,"L2",'2024_2026'!$F$2:$F$976,0)-AVERAGEIFS('2024_2026'!$J$2:$J$976,'2024_2026'!$B$2:$B$976,"L2",'2024_2026'!$F$2:$F$976,0))/($C9-AVERAGEIFS('2024_2026'!$J$2:$J$976,'2024_2026'!$B$2:$B$976,"L2",'2024_2026'!$F$2:$F$976,0)))),"")</f>
        <v>0</v>
      </c>
      <c r="J9" s="306">
        <f>IFERROR(MAX(0,MIN(1,(AVERAGEIFS('2024_2026'!$J$2:$J$976,'2024_2026'!$B$2:$B$976,"L2",'2024_2026'!$F$2:$F$976,4)-AVERAGEIFS('2024_2026'!$J$2:$J$976,'2024_2026'!$B$2:$B$976,"L2",'2024_2026'!$F$2:$F$976,0))/($C9-AVERAGEIFS('2024_2026'!$J$2:$J$976,'2024_2026'!$B$2:$B$976,"L2",'2024_2026'!$F$2:$F$976,0)))),"")</f>
        <v>0.13060686015831127</v>
      </c>
      <c r="K9" s="306">
        <f>IFERROR(MAX(0,MIN(1,(AVERAGEIFS('2024_2026'!$J$2:$J$976,'2024_2026'!$B$2:$B$976,"L2",'2024_2026'!$F$2:$F$976,8)-AVERAGEIFS('2024_2026'!$J$2:$J$976,'2024_2026'!$B$2:$B$976,"L2",'2024_2026'!$F$2:$F$976,0))/($C9-AVERAGEIFS('2024_2026'!$J$2:$J$976,'2024_2026'!$B$2:$B$976,"L2",'2024_2026'!$F$2:$F$976,0)))),"")</f>
        <v>0.26187335092348268</v>
      </c>
      <c r="L9" s="306">
        <f>IFERROR(MAX(0,MIN(1,(AVERAGEIFS('2024_2026'!$J$2:$J$976,'2024_2026'!$B$2:$B$976,"L2",'2024_2026'!$F$2:$F$976,12)-AVERAGEIFS('2024_2026'!$J$2:$J$976,'2024_2026'!$B$2:$B$976,"L2",'2024_2026'!$F$2:$F$976,0))/($C9-AVERAGEIFS('2024_2026'!$J$2:$J$976,'2024_2026'!$B$2:$B$976,"L2",'2024_2026'!$F$2:$F$976,0)))),"")</f>
        <v>0.3799472295514511</v>
      </c>
      <c r="M9" s="306">
        <f>IFERROR(MAX(0,MIN(1,(AVERAGEIFS('2024_2026'!$J$2:$J$976,'2024_2026'!$B$2:$B$976,"L2",'2024_2026'!$F$2:$F$976,21)-AVERAGEIFS('2024_2026'!$J$2:$J$976,'2024_2026'!$B$2:$B$976,"L2",'2024_2026'!$F$2:$F$976,0))/($C9-AVERAGEIFS('2024_2026'!$J$2:$J$976,'2024_2026'!$B$2:$B$976,"L2",'2024_2026'!$F$2:$F$976,0)))),"")</f>
        <v>0.68601583113456466</v>
      </c>
      <c r="N9" s="306">
        <f>IFERROR(MAX(0,MIN(1,(AVERAGEIFS('2024_2026'!$J$2:$J$976,'2024_2026'!$B$2:$B$976,"L3",'2024_2026'!$F$2:$F$976,0)-AVERAGEIFS('2024_2026'!$J$2:$J$976,'2024_2026'!$B$2:$B$976,"L3",'2024_2026'!$F$2:$F$976,0))/($C9-AVERAGEIFS('2024_2026'!$J$2:$J$976,'2024_2026'!$B$2:$B$976,"L3",'2024_2026'!$F$2:$F$976,0)))),"")</f>
        <v>0</v>
      </c>
      <c r="O9" s="306">
        <f>IFERROR(MAX(0,MIN(1,(AVERAGEIFS('2024_2026'!$J$2:$J$976,'2024_2026'!$B$2:$B$976,"L3",'2024_2026'!$F$2:$F$976,4)-AVERAGEIFS('2024_2026'!$J$2:$J$976,'2024_2026'!$B$2:$B$976,"L3",'2024_2026'!$F$2:$F$976,0))/($C9-AVERAGEIFS('2024_2026'!$J$2:$J$976,'2024_2026'!$B$2:$B$976,"L3",'2024_2026'!$F$2:$F$976,0)))),"")</f>
        <v>0.14757878554957754</v>
      </c>
      <c r="P9" s="306">
        <f>IFERROR(MAX(0,MIN(1,(AVERAGEIFS('2024_2026'!$J$2:$J$976,'2024_2026'!$B$2:$B$976,"L3",'2024_2026'!$F$2:$F$976,8)-AVERAGEIFS('2024_2026'!$J$2:$J$976,'2024_2026'!$B$2:$B$976,"L3",'2024_2026'!$F$2:$F$976,0))/($C9-AVERAGEIFS('2024_2026'!$J$2:$J$976,'2024_2026'!$B$2:$B$976,"L3",'2024_2026'!$F$2:$F$976,0)))),"")</f>
        <v>0.29900076863950814</v>
      </c>
      <c r="Q9" s="306">
        <f>IFERROR(MAX(0,MIN(1,(AVERAGEIFS('2024_2026'!$J$2:$J$976,'2024_2026'!$B$2:$B$976,"L3",'2024_2026'!$F$2:$F$976,12)-AVERAGEIFS('2024_2026'!$J$2:$J$976,'2024_2026'!$B$2:$B$976,"L3",'2024_2026'!$F$2:$F$976,0))/($C9-AVERAGEIFS('2024_2026'!$J$2:$J$976,'2024_2026'!$B$2:$B$976,"L3",'2024_2026'!$F$2:$F$976,0)))),"")</f>
        <v>0.44119907763259059</v>
      </c>
      <c r="R9" s="306">
        <f>IFERROR(MAX(0,MIN(1,(AVERAGEIFS('2024_2026'!$J$2:$J$976,'2024_2026'!$B$2:$B$976,"L3",'2024_2026'!$F$2:$F$976,21)-AVERAGEIFS('2024_2026'!$J$2:$J$976,'2024_2026'!$B$2:$B$976,"L3",'2024_2026'!$F$2:$F$976,0))/($C9-AVERAGEIFS('2024_2026'!$J$2:$J$976,'2024_2026'!$B$2:$B$976,"L3",'2024_2026'!$F$2:$F$976,0)))),"")</f>
        <v>0.75249807840122973</v>
      </c>
      <c r="S9" s="306">
        <f>IFERROR(MAX(0,MIN(1,(AVERAGEIFS('2024_2026'!$J$2:$J$976,'2024_2026'!$B$2:$B$976,"S",'2024_2026'!$F$2:$F$976,0)-AVERAGEIFS('2024_2026'!$J$2:$J$976,'2024_2026'!$B$2:$B$976,"S",'2024_2026'!$F$2:$F$976,0))/($C9-AVERAGEIFS('2024_2026'!$J$2:$J$976,'2024_2026'!$B$2:$B$976,"S",'2024_2026'!$F$2:$F$976,0)))),"")</f>
        <v>0</v>
      </c>
      <c r="T9" s="306">
        <f>IFERROR(MAX(0,MIN(1,(AVERAGEIFS('2024_2026'!$J$2:$J$976,'2024_2026'!$B$2:$B$976,"S",'2024_2026'!$F$2:$F$976,4)-AVERAGEIFS('2024_2026'!$J$2:$J$976,'2024_2026'!$B$2:$B$976,"S",'2024_2026'!$F$2:$F$976,0))/($C9-AVERAGEIFS('2024_2026'!$J$2:$J$976,'2024_2026'!$B$2:$B$976,"S",'2024_2026'!$F$2:$F$976,0)))),"")</f>
        <v>6.1455038409398817E-2</v>
      </c>
      <c r="U9" s="306">
        <f>IFERROR(MAX(0,MIN(1,(AVERAGEIFS('2024_2026'!$J$2:$J$976,'2024_2026'!$B$2:$B$976,"S",'2024_2026'!$F$2:$F$976,8)-AVERAGEIFS('2024_2026'!$J$2:$J$976,'2024_2026'!$B$2:$B$976,"S",'2024_2026'!$F$2:$F$976,0))/($C9-AVERAGEIFS('2024_2026'!$J$2:$J$976,'2024_2026'!$B$2:$B$976,"S",'2024_2026'!$F$2:$F$976,0)))),"")</f>
        <v>0.1025756891098057</v>
      </c>
      <c r="V9" s="306">
        <f>IFERROR(MAX(0,MIN(1,(AVERAGEIFS('2024_2026'!$J$2:$J$976,'2024_2026'!$B$2:$B$976,"S",'2024_2026'!$F$2:$F$976,12)-AVERAGEIFS('2024_2026'!$J$2:$J$976,'2024_2026'!$B$2:$B$976,"S",'2024_2026'!$F$2:$F$976,0))/($C9-AVERAGEIFS('2024_2026'!$J$2:$J$976,'2024_2026'!$B$2:$B$976,"S",'2024_2026'!$F$2:$F$976,0)))),"")</f>
        <v>0.17577948486217787</v>
      </c>
      <c r="W9" s="306">
        <f>IFERROR(MAX(0,MIN(1,(AVERAGEIFS('2024_2026'!$J$2:$J$976,'2024_2026'!$B$2:$B$976,"S",'2024_2026'!$F$2:$F$976,21)-AVERAGEIFS('2024_2026'!$J$2:$J$976,'2024_2026'!$B$2:$B$976,"S",'2024_2026'!$F$2:$F$976,0))/($C9-AVERAGEIFS('2024_2026'!$J$2:$J$976,'2024_2026'!$B$2:$B$976,"S",'2024_2026'!$F$2:$F$976,0)))),"")</f>
        <v>0.31269769543605969</v>
      </c>
    </row>
    <row r="10" spans="1:23" ht="16.5" customHeight="1" x14ac:dyDescent="0.25">
      <c r="A10" s="274" t="s">
        <v>166</v>
      </c>
      <c r="B10" s="72" t="s">
        <v>313</v>
      </c>
      <c r="C10" s="305">
        <v>2</v>
      </c>
      <c r="D10" s="306">
        <f>IFERROR(MAX(0,MIN(1,(AVERAGEIFS('2024_2026'!$L$2:$L$976,'2024_2026'!$B$2:$B$976,"L1",'2024_2026'!$F$2:$F$976,0)-AVERAGEIFS('2024_2026'!$L$2:$L$976,'2024_2026'!$B$2:$B$976,"L1",'2024_2026'!$F$2:$F$976,0))/(AVERAGEIFS('2024_2026'!$L$2:$L$976,'2024_2026'!$B$2:$B$976,"L1",'2024_2026'!$F$2:$F$976,0)-$C10))),"")</f>
        <v>0</v>
      </c>
      <c r="E10" s="306">
        <f>IFERROR(MAX(0,MIN(1,(AVERAGEIFS('2024_2026'!$L$2:$L$976,'2024_2026'!$B$2:$B$976,"L1",'2024_2026'!$F$2:$F$976,0)-AVERAGEIFS('2024_2026'!$L$2:$L$976,'2024_2026'!$B$2:$B$976,"L1",'2024_2026'!$F$2:$F$976,4))/(AVERAGEIFS('2024_2026'!$L$2:$L$976,'2024_2026'!$B$2:$B$976,"L1",'2024_2026'!$F$2:$F$976,0)-$C10))),"")</f>
        <v>0.10467661691542263</v>
      </c>
      <c r="F10" s="306">
        <f>IFERROR(MAX(0,MIN(1,(AVERAGEIFS('2024_2026'!$L$2:$L$976,'2024_2026'!$B$2:$B$976,"L1",'2024_2026'!$F$2:$F$976,0)-AVERAGEIFS('2024_2026'!$L$2:$L$976,'2024_2026'!$B$2:$B$976,"L1",'2024_2026'!$F$2:$F$976,8))/(AVERAGEIFS('2024_2026'!$L$2:$L$976,'2024_2026'!$B$2:$B$976,"L1",'2024_2026'!$F$2:$F$976,0)-$C10))),"")</f>
        <v>0.18746268656716392</v>
      </c>
      <c r="G10" s="306">
        <f>IFERROR(MAX(0,MIN(1,(AVERAGEIFS('2024_2026'!$L$2:$L$976,'2024_2026'!$B$2:$B$976,"L1",'2024_2026'!$F$2:$F$976,0)-AVERAGEIFS('2024_2026'!$L$2:$L$976,'2024_2026'!$B$2:$B$976,"L1",'2024_2026'!$F$2:$F$976,12))/(AVERAGEIFS('2024_2026'!$L$2:$L$976,'2024_2026'!$B$2:$B$976,"L1",'2024_2026'!$F$2:$F$976,0)-$C10))),"")</f>
        <v>0.26940298507462673</v>
      </c>
      <c r="H10" s="306">
        <f>IFERROR(MAX(0,MIN(1,(AVERAGEIFS('2024_2026'!$L$2:$L$976,'2024_2026'!$B$2:$B$976,"L1",'2024_2026'!$F$2:$F$976,0)-AVERAGEIFS('2024_2026'!$L$2:$L$976,'2024_2026'!$B$2:$B$976,"L1",'2024_2026'!$F$2:$F$976,21))/(AVERAGEIFS('2024_2026'!$L$2:$L$976,'2024_2026'!$B$2:$B$976,"L1",'2024_2026'!$F$2:$F$976,0)-$C10))),"")</f>
        <v>0.46253731343283572</v>
      </c>
      <c r="I10" s="306">
        <f>IFERROR(MAX(0,MIN(1,(AVERAGEIFS('2024_2026'!$L$2:$L$976,'2024_2026'!$B$2:$B$976,"L2",'2024_2026'!$F$2:$F$976,0)-AVERAGEIFS('2024_2026'!$L$2:$L$976,'2024_2026'!$B$2:$B$976,"L2",'2024_2026'!$F$2:$F$976,0))/(AVERAGEIFS('2024_2026'!$L$2:$L$976,'2024_2026'!$B$2:$B$976,"L2",'2024_2026'!$F$2:$F$976,0)-$C10))),"")</f>
        <v>0</v>
      </c>
      <c r="J10" s="306">
        <f>IFERROR(MAX(0,MIN(1,(AVERAGEIFS('2024_2026'!$L$2:$L$976,'2024_2026'!$B$2:$B$976,"L2",'2024_2026'!$F$2:$F$976,0)-AVERAGEIFS('2024_2026'!$L$2:$L$976,'2024_2026'!$B$2:$B$976,"L2",'2024_2026'!$F$2:$F$976,4))/(AVERAGEIFS('2024_2026'!$L$2:$L$976,'2024_2026'!$B$2:$B$976,"L2",'2024_2026'!$F$2:$F$976,0)-$C10))),"")</f>
        <v>0.13757546379940935</v>
      </c>
      <c r="K10" s="306">
        <f>IFERROR(MAX(0,MIN(1,(AVERAGEIFS('2024_2026'!$L$2:$L$976,'2024_2026'!$B$2:$B$976,"L2",'2024_2026'!$F$2:$F$976,0)-AVERAGEIFS('2024_2026'!$L$2:$L$976,'2024_2026'!$B$2:$B$976,"L2",'2024_2026'!$F$2:$F$976,8))/(AVERAGEIFS('2024_2026'!$L$2:$L$976,'2024_2026'!$B$2:$B$976,"L2",'2024_2026'!$F$2:$F$976,0)-$C10))),"")</f>
        <v>0.2848014806327947</v>
      </c>
      <c r="L10" s="306">
        <f>IFERROR(MAX(0,MIN(1,(AVERAGEIFS('2024_2026'!$L$2:$L$976,'2024_2026'!$B$2:$B$976,"L2",'2024_2026'!$F$2:$F$976,0)-AVERAGEIFS('2024_2026'!$L$2:$L$976,'2024_2026'!$B$2:$B$976,"L2",'2024_2026'!$F$2:$F$976,12))/(AVERAGEIFS('2024_2026'!$L$2:$L$976,'2024_2026'!$B$2:$B$976,"L2",'2024_2026'!$F$2:$F$976,0)-$C10))),"")</f>
        <v>0.41942449213413818</v>
      </c>
      <c r="M10" s="306">
        <f>IFERROR(MAX(0,MIN(1,(AVERAGEIFS('2024_2026'!$L$2:$L$976,'2024_2026'!$B$2:$B$976,"L2",'2024_2026'!$F$2:$F$976,0)-AVERAGEIFS('2024_2026'!$L$2:$L$976,'2024_2026'!$B$2:$B$976,"L2",'2024_2026'!$F$2:$F$976,21))/(AVERAGEIFS('2024_2026'!$L$2:$L$976,'2024_2026'!$B$2:$B$976,"L2",'2024_2026'!$F$2:$F$976,0)-$C10))),"")</f>
        <v>0.73873000484730977</v>
      </c>
      <c r="N10" s="306">
        <f>IFERROR(MAX(0,MIN(1,(AVERAGEIFS('2024_2026'!$L$2:$L$976,'2024_2026'!$B$2:$B$976,"L3",'2024_2026'!$F$2:$F$976,0)-AVERAGEIFS('2024_2026'!$L$2:$L$976,'2024_2026'!$B$2:$B$976,"L3",'2024_2026'!$F$2:$F$976,0))/(AVERAGEIFS('2024_2026'!$L$2:$L$976,'2024_2026'!$B$2:$B$976,"L3",'2024_2026'!$F$2:$F$976,0)-$C10))),"")</f>
        <v>0</v>
      </c>
      <c r="O10" s="306">
        <f>IFERROR(MAX(0,MIN(1,(AVERAGEIFS('2024_2026'!$L$2:$L$976,'2024_2026'!$B$2:$B$976,"L3",'2024_2026'!$F$2:$F$976,0)-AVERAGEIFS('2024_2026'!$L$2:$L$976,'2024_2026'!$B$2:$B$976,"L3",'2024_2026'!$F$2:$F$976,4))/(AVERAGEIFS('2024_2026'!$L$2:$L$976,'2024_2026'!$B$2:$B$976,"L3",'2024_2026'!$F$2:$F$976,0)-$C10))),"")</f>
        <v>0.14340344168260041</v>
      </c>
      <c r="P10" s="306">
        <f>IFERROR(MAX(0,MIN(1,(AVERAGEIFS('2024_2026'!$L$2:$L$976,'2024_2026'!$B$2:$B$976,"L3",'2024_2026'!$F$2:$F$976,0)-AVERAGEIFS('2024_2026'!$L$2:$L$976,'2024_2026'!$B$2:$B$976,"L3",'2024_2026'!$F$2:$F$976,8))/(AVERAGEIFS('2024_2026'!$L$2:$L$976,'2024_2026'!$B$2:$B$976,"L3",'2024_2026'!$F$2:$F$976,0)-$C10))),"")</f>
        <v>0.28298279158699824</v>
      </c>
      <c r="Q10" s="306">
        <f>IFERROR(MAX(0,MIN(1,(AVERAGEIFS('2024_2026'!$L$2:$L$976,'2024_2026'!$B$2:$B$976,"L3",'2024_2026'!$F$2:$F$976,0)-AVERAGEIFS('2024_2026'!$L$2:$L$976,'2024_2026'!$B$2:$B$976,"L3",'2024_2026'!$F$2:$F$976,12))/(AVERAGEIFS('2024_2026'!$L$2:$L$976,'2024_2026'!$B$2:$B$976,"L3",'2024_2026'!$F$2:$F$976,0)-$C10))),"")</f>
        <v>0.42349232597798542</v>
      </c>
      <c r="R10" s="306">
        <f>IFERROR(MAX(0,MIN(1,(AVERAGEIFS('2024_2026'!$L$2:$L$976,'2024_2026'!$B$2:$B$976,"L3",'2024_2026'!$F$2:$F$976,0)-AVERAGEIFS('2024_2026'!$L$2:$L$976,'2024_2026'!$B$2:$B$976,"L3",'2024_2026'!$F$2:$F$976,21))/(AVERAGEIFS('2024_2026'!$L$2:$L$976,'2024_2026'!$B$2:$B$976,"L3",'2024_2026'!$F$2:$F$976,0)-$C10))),"")</f>
        <v>0.75220918815565097</v>
      </c>
      <c r="S10" s="306">
        <f>IFERROR(MAX(0,MIN(1,(AVERAGEIFS('2024_2026'!$L$2:$L$976,'2024_2026'!$B$2:$B$976,"S",'2024_2026'!$F$2:$F$976,0)-AVERAGEIFS('2024_2026'!$L$2:$L$976,'2024_2026'!$B$2:$B$976,"S",'2024_2026'!$F$2:$F$976,0))/(AVERAGEIFS('2024_2026'!$L$2:$L$976,'2024_2026'!$B$2:$B$976,"S",'2024_2026'!$F$2:$F$976,0)-$C10))),"")</f>
        <v>0</v>
      </c>
      <c r="T10" s="306">
        <f>IFERROR(MAX(0,MIN(1,(AVERAGEIFS('2024_2026'!$L$2:$L$976,'2024_2026'!$B$2:$B$976,"S",'2024_2026'!$F$2:$F$976,0)-AVERAGEIFS('2024_2026'!$L$2:$L$976,'2024_2026'!$B$2:$B$976,"S",'2024_2026'!$F$2:$F$976,4))/(AVERAGEIFS('2024_2026'!$L$2:$L$976,'2024_2026'!$B$2:$B$976,"S",'2024_2026'!$F$2:$F$976,0)-$C10))),"")</f>
        <v>6.9472888244746206E-2</v>
      </c>
      <c r="U10" s="306">
        <f>IFERROR(MAX(0,MIN(1,(AVERAGEIFS('2024_2026'!$L$2:$L$976,'2024_2026'!$B$2:$B$976,"S",'2024_2026'!$F$2:$F$976,0)-AVERAGEIFS('2024_2026'!$L$2:$L$976,'2024_2026'!$B$2:$B$976,"S",'2024_2026'!$F$2:$F$976,8))/(AVERAGEIFS('2024_2026'!$L$2:$L$976,'2024_2026'!$B$2:$B$976,"S",'2024_2026'!$F$2:$F$976,0)-$C10))),"")</f>
        <v>0.13409370175493829</v>
      </c>
      <c r="V10" s="306">
        <f>IFERROR(MAX(0,MIN(1,(AVERAGEIFS('2024_2026'!$L$2:$L$976,'2024_2026'!$B$2:$B$976,"S",'2024_2026'!$F$2:$F$976,0)-AVERAGEIFS('2024_2026'!$L$2:$L$976,'2024_2026'!$B$2:$B$976,"S",'2024_2026'!$F$2:$F$976,12))/(AVERAGEIFS('2024_2026'!$L$2:$L$976,'2024_2026'!$B$2:$B$976,"S",'2024_2026'!$F$2:$F$976,0)-$C10))),"")</f>
        <v>0.19984876650177999</v>
      </c>
      <c r="W10" s="306">
        <f>IFERROR(MAX(0,MIN(1,(AVERAGEIFS('2024_2026'!$L$2:$L$976,'2024_2026'!$B$2:$B$976,"S",'2024_2026'!$F$2:$F$976,0)-AVERAGEIFS('2024_2026'!$L$2:$L$976,'2024_2026'!$B$2:$B$976,"S",'2024_2026'!$F$2:$F$976,21))/(AVERAGEIFS('2024_2026'!$L$2:$L$976,'2024_2026'!$B$2:$B$976,"S",'2024_2026'!$F$2:$F$976,0)-$C10))),"")</f>
        <v>0.33847947320331384</v>
      </c>
    </row>
    <row r="11" spans="1:23" ht="16.5" customHeight="1" x14ac:dyDescent="0.25">
      <c r="A11" s="274" t="s">
        <v>167</v>
      </c>
      <c r="B11" s="72" t="s">
        <v>313</v>
      </c>
      <c r="C11" s="305">
        <v>2</v>
      </c>
      <c r="D11" s="306">
        <f>IFERROR(MAX(0,MIN(1,(AVERAGEIFS('2024_2026'!$M$2:$M$976,'2024_2026'!$B$2:$B$976,"L1",'2024_2026'!$F$2:$F$976,0)-AVERAGEIFS('2024_2026'!$M$2:$M$976,'2024_2026'!$B$2:$B$976,"L1",'2024_2026'!$F$2:$F$976,0))/(AVERAGEIFS('2024_2026'!$M$2:$M$976,'2024_2026'!$B$2:$B$976,"L1",'2024_2026'!$F$2:$F$976,0)-$C11))),"")</f>
        <v>0</v>
      </c>
      <c r="E11" s="306">
        <f>IFERROR(MAX(0,MIN(1,(AVERAGEIFS('2024_2026'!$M$2:$M$976,'2024_2026'!$B$2:$B$976,"L1",'2024_2026'!$F$2:$F$976,0)-AVERAGEIFS('2024_2026'!$M$2:$M$976,'2024_2026'!$B$2:$B$976,"L1",'2024_2026'!$F$2:$F$976,4))/(AVERAGEIFS('2024_2026'!$M$2:$M$976,'2024_2026'!$B$2:$B$976,"L1",'2024_2026'!$F$2:$F$976,0)-$C11))),"")</f>
        <v>9.4162690045500652E-2</v>
      </c>
      <c r="F11" s="306">
        <f>IFERROR(MAX(0,MIN(1,(AVERAGEIFS('2024_2026'!$M$2:$M$976,'2024_2026'!$B$2:$B$976,"L1",'2024_2026'!$F$2:$F$976,0)-AVERAGEIFS('2024_2026'!$M$2:$M$976,'2024_2026'!$B$2:$B$976,"L1",'2024_2026'!$F$2:$F$976,8))/(AVERAGEIFS('2024_2026'!$M$2:$M$976,'2024_2026'!$B$2:$B$976,"L1",'2024_2026'!$F$2:$F$976,0)-$C11))),"")</f>
        <v>0.17672844301409452</v>
      </c>
      <c r="G11" s="306">
        <f>IFERROR(MAX(0,MIN(1,(AVERAGEIFS('2024_2026'!$M$2:$M$976,'2024_2026'!$B$2:$B$976,"L1",'2024_2026'!$F$2:$F$976,0)-AVERAGEIFS('2024_2026'!$M$2:$M$976,'2024_2026'!$B$2:$B$976,"L1",'2024_2026'!$F$2:$F$976,12))/(AVERAGEIFS('2024_2026'!$M$2:$M$976,'2024_2026'!$B$2:$B$976,"L1",'2024_2026'!$F$2:$F$976,0)-$C11))),"")</f>
        <v>0.25024969481744597</v>
      </c>
      <c r="H11" s="306">
        <f>IFERROR(MAX(0,MIN(1,(AVERAGEIFS('2024_2026'!$M$2:$M$976,'2024_2026'!$B$2:$B$976,"L1",'2024_2026'!$F$2:$F$976,0)-AVERAGEIFS('2024_2026'!$M$2:$M$976,'2024_2026'!$B$2:$B$976,"L1",'2024_2026'!$F$2:$F$976,21))/(AVERAGEIFS('2024_2026'!$M$2:$M$976,'2024_2026'!$B$2:$B$976,"L1",'2024_2026'!$F$2:$F$976,0)-$C11))),"")</f>
        <v>0.44062812118521832</v>
      </c>
      <c r="I11" s="306">
        <f>IFERROR(MAX(0,MIN(1,(AVERAGEIFS('2024_2026'!$M$2:$M$976,'2024_2026'!$B$2:$B$976,"L2",'2024_2026'!$F$2:$F$976,0)-AVERAGEIFS('2024_2026'!$M$2:$M$976,'2024_2026'!$B$2:$B$976,"L2",'2024_2026'!$F$2:$F$976,0))/(AVERAGEIFS('2024_2026'!$M$2:$M$976,'2024_2026'!$B$2:$B$976,"L2",'2024_2026'!$F$2:$F$976,0)-$C11))),"")</f>
        <v>0</v>
      </c>
      <c r="J11" s="306">
        <f>IFERROR(MAX(0,MIN(1,(AVERAGEIFS('2024_2026'!$M$2:$M$976,'2024_2026'!$B$2:$B$976,"L2",'2024_2026'!$F$2:$F$976,0)-AVERAGEIFS('2024_2026'!$M$2:$M$976,'2024_2026'!$B$2:$B$976,"L2",'2024_2026'!$F$2:$F$976,4))/(AVERAGEIFS('2024_2026'!$M$2:$M$976,'2024_2026'!$B$2:$B$976,"L2",'2024_2026'!$F$2:$F$976,0)-$C11))),"")</f>
        <v>0.12473731612128472</v>
      </c>
      <c r="K11" s="306">
        <f>IFERROR(MAX(0,MIN(1,(AVERAGEIFS('2024_2026'!$M$2:$M$976,'2024_2026'!$B$2:$B$976,"L2",'2024_2026'!$F$2:$F$976,0)-AVERAGEIFS('2024_2026'!$M$2:$M$976,'2024_2026'!$B$2:$B$976,"L2",'2024_2026'!$F$2:$F$976,8))/(AVERAGEIFS('2024_2026'!$M$2:$M$976,'2024_2026'!$B$2:$B$976,"L2",'2024_2026'!$F$2:$F$976,0)-$C11))),"")</f>
        <v>0.27539277494245951</v>
      </c>
      <c r="L11" s="306">
        <f>IFERROR(MAX(0,MIN(1,(AVERAGEIFS('2024_2026'!$M$2:$M$976,'2024_2026'!$B$2:$B$976,"L2",'2024_2026'!$F$2:$F$976,0)-AVERAGEIFS('2024_2026'!$M$2:$M$976,'2024_2026'!$B$2:$B$976,"L2",'2024_2026'!$F$2:$F$976,12))/(AVERAGEIFS('2024_2026'!$M$2:$M$976,'2024_2026'!$B$2:$B$976,"L2",'2024_2026'!$F$2:$F$976,0)-$C11))),"")</f>
        <v>0.39732812969078296</v>
      </c>
      <c r="M11" s="306">
        <f>IFERROR(MAX(0,MIN(1,(AVERAGEIFS('2024_2026'!$M$2:$M$976,'2024_2026'!$B$2:$B$976,"L2",'2024_2026'!$F$2:$F$976,0)-AVERAGEIFS('2024_2026'!$M$2:$M$976,'2024_2026'!$B$2:$B$976,"L2",'2024_2026'!$F$2:$F$976,21))/(AVERAGEIFS('2024_2026'!$M$2:$M$976,'2024_2026'!$B$2:$B$976,"L2",'2024_2026'!$F$2:$F$976,0)-$C11))),"")</f>
        <v>0.69208445912138472</v>
      </c>
      <c r="N11" s="306">
        <f>IFERROR(MAX(0,MIN(1,(AVERAGEIFS('2024_2026'!$M$2:$M$976,'2024_2026'!$B$2:$B$976,"L3",'2024_2026'!$F$2:$F$976,0)-AVERAGEIFS('2024_2026'!$M$2:$M$976,'2024_2026'!$B$2:$B$976,"L3",'2024_2026'!$F$2:$F$976,0))/(AVERAGEIFS('2024_2026'!$M$2:$M$976,'2024_2026'!$B$2:$B$976,"L3",'2024_2026'!$F$2:$F$976,0)-$C11))),"")</f>
        <v>0</v>
      </c>
      <c r="O11" s="306">
        <f>IFERROR(MAX(0,MIN(1,(AVERAGEIFS('2024_2026'!$M$2:$M$976,'2024_2026'!$B$2:$B$976,"L3",'2024_2026'!$F$2:$F$976,0)-AVERAGEIFS('2024_2026'!$M$2:$M$976,'2024_2026'!$B$2:$B$976,"L3",'2024_2026'!$F$2:$F$976,4))/(AVERAGEIFS('2024_2026'!$M$2:$M$976,'2024_2026'!$B$2:$B$976,"L3",'2024_2026'!$F$2:$F$976,0)-$C11))),"")</f>
        <v>0.13094065501108104</v>
      </c>
      <c r="P11" s="306">
        <f>IFERROR(MAX(0,MIN(1,(AVERAGEIFS('2024_2026'!$M$2:$M$976,'2024_2026'!$B$2:$B$976,"L3",'2024_2026'!$F$2:$F$976,0)-AVERAGEIFS('2024_2026'!$M$2:$M$976,'2024_2026'!$B$2:$B$976,"L3",'2024_2026'!$F$2:$F$976,8))/(AVERAGEIFS('2024_2026'!$M$2:$M$976,'2024_2026'!$B$2:$B$976,"L3",'2024_2026'!$F$2:$F$976,0)-$C11))),"")</f>
        <v>0.2829967988180252</v>
      </c>
      <c r="Q11" s="306">
        <f>IFERROR(MAX(0,MIN(1,(AVERAGEIFS('2024_2026'!$M$2:$M$976,'2024_2026'!$B$2:$B$976,"L3",'2024_2026'!$F$2:$F$976,0)-AVERAGEIFS('2024_2026'!$M$2:$M$976,'2024_2026'!$B$2:$B$976,"L3",'2024_2026'!$F$2:$F$976,12))/(AVERAGEIFS('2024_2026'!$M$2:$M$976,'2024_2026'!$B$2:$B$976,"L3",'2024_2026'!$F$2:$F$976,0)-$C11))),"")</f>
        <v>0.40759665107116494</v>
      </c>
      <c r="R11" s="306">
        <f>IFERROR(MAX(0,MIN(1,(AVERAGEIFS('2024_2026'!$M$2:$M$976,'2024_2026'!$B$2:$B$976,"L3",'2024_2026'!$F$2:$F$976,0)-AVERAGEIFS('2024_2026'!$M$2:$M$976,'2024_2026'!$B$2:$B$976,"L3",'2024_2026'!$F$2:$F$976,21))/(AVERAGEIFS('2024_2026'!$M$2:$M$976,'2024_2026'!$B$2:$B$976,"L3",'2024_2026'!$F$2:$F$976,0)-$C11))),"")</f>
        <v>0.73633341541492259</v>
      </c>
      <c r="S11" s="306">
        <f>IFERROR(MAX(0,MIN(1,(AVERAGEIFS('2024_2026'!$M$2:$M$976,'2024_2026'!$B$2:$B$976,"S",'2024_2026'!$F$2:$F$976,0)-AVERAGEIFS('2024_2026'!$M$2:$M$976,'2024_2026'!$B$2:$B$976,"S",'2024_2026'!$F$2:$F$976,0))/(AVERAGEIFS('2024_2026'!$M$2:$M$976,'2024_2026'!$B$2:$B$976,"S",'2024_2026'!$F$2:$F$976,0)-$C11))),"")</f>
        <v>0</v>
      </c>
      <c r="T11" s="306">
        <f>IFERROR(MAX(0,MIN(1,(AVERAGEIFS('2024_2026'!$M$2:$M$976,'2024_2026'!$B$2:$B$976,"S",'2024_2026'!$F$2:$F$976,0)-AVERAGEIFS('2024_2026'!$M$2:$M$976,'2024_2026'!$B$2:$B$976,"S",'2024_2026'!$F$2:$F$976,4))/(AVERAGEIFS('2024_2026'!$M$2:$M$976,'2024_2026'!$B$2:$B$976,"S",'2024_2026'!$F$2:$F$976,0)-$C11))),"")</f>
        <v>5.9720235811210734E-2</v>
      </c>
      <c r="U11" s="306">
        <f>IFERROR(MAX(0,MIN(1,(AVERAGEIFS('2024_2026'!$M$2:$M$976,'2024_2026'!$B$2:$B$976,"S",'2024_2026'!$F$2:$F$976,0)-AVERAGEIFS('2024_2026'!$M$2:$M$976,'2024_2026'!$B$2:$B$976,"S",'2024_2026'!$F$2:$F$976,8))/(AVERAGEIFS('2024_2026'!$M$2:$M$976,'2024_2026'!$B$2:$B$976,"S",'2024_2026'!$F$2:$F$976,0)-$C11))),"")</f>
        <v>0.12582411832420462</v>
      </c>
      <c r="V11" s="306">
        <f>IFERROR(MAX(0,MIN(1,(AVERAGEIFS('2024_2026'!$M$2:$M$976,'2024_2026'!$B$2:$B$976,"S",'2024_2026'!$F$2:$F$976,0)-AVERAGEIFS('2024_2026'!$M$2:$M$976,'2024_2026'!$B$2:$B$976,"S",'2024_2026'!$F$2:$F$976,12))/(AVERAGEIFS('2024_2026'!$M$2:$M$976,'2024_2026'!$B$2:$B$976,"S",'2024_2026'!$F$2:$F$976,0)-$C11))),"")</f>
        <v>0.17650957547005247</v>
      </c>
      <c r="W11" s="306">
        <f>IFERROR(MAX(0,MIN(1,(AVERAGEIFS('2024_2026'!$M$2:$M$976,'2024_2026'!$B$2:$B$976,"S",'2024_2026'!$F$2:$F$976,0)-AVERAGEIFS('2024_2026'!$M$2:$M$976,'2024_2026'!$B$2:$B$976,"S",'2024_2026'!$F$2:$F$976,21))/(AVERAGEIFS('2024_2026'!$M$2:$M$976,'2024_2026'!$B$2:$B$976,"S",'2024_2026'!$F$2:$F$976,0)-$C11))),"")</f>
        <v>0.3152056371437541</v>
      </c>
    </row>
    <row r="12" spans="1:23" ht="16.5" customHeight="1" x14ac:dyDescent="0.25">
      <c r="A12" s="274" t="s">
        <v>398</v>
      </c>
      <c r="B12" s="72" t="s">
        <v>313</v>
      </c>
      <c r="C12" s="305">
        <v>20</v>
      </c>
      <c r="D12" s="306">
        <f>IFERROR(MAX(0,MIN(1,(AVERAGEIFS('2024_2026'!$N$2:$N$976,'2024_2026'!$B$2:$B$976,"L1",'2024_2026'!$F$2:$F$976,0)-AVERAGEIFS('2024_2026'!$N$2:$N$976,'2024_2026'!$B$2:$B$976,"L1",'2024_2026'!$F$2:$F$976,0))/(AVERAGEIFS('2024_2026'!$N$2:$N$976,'2024_2026'!$B$2:$B$976,"L1",'2024_2026'!$F$2:$F$976,0)-$C12))),"")</f>
        <v>0</v>
      </c>
      <c r="E12" s="306">
        <f>IFERROR(MAX(0,MIN(1,(AVERAGEIFS('2024_2026'!$N$2:$N$976,'2024_2026'!$B$2:$B$976,"L1",'2024_2026'!$F$2:$F$976,0)-AVERAGEIFS('2024_2026'!$N$2:$N$976,'2024_2026'!$B$2:$B$976,"L1",'2024_2026'!$F$2:$F$976,4))/(AVERAGEIFS('2024_2026'!$N$2:$N$976,'2024_2026'!$B$2:$B$976,"L1",'2024_2026'!$F$2:$F$976,0)-$C12))),"")</f>
        <v>6.1224489795918477E-2</v>
      </c>
      <c r="F12" s="306">
        <f>IFERROR(MAX(0,MIN(1,(AVERAGEIFS('2024_2026'!$N$2:$N$976,'2024_2026'!$B$2:$B$976,"L1",'2024_2026'!$F$2:$F$976,0)-AVERAGEIFS('2024_2026'!$N$2:$N$976,'2024_2026'!$B$2:$B$976,"L1",'2024_2026'!$F$2:$F$976,8))/(AVERAGEIFS('2024_2026'!$N$2:$N$976,'2024_2026'!$B$2:$B$976,"L1",'2024_2026'!$F$2:$F$976,0)-$C12))),"")</f>
        <v>0.14906832298136644</v>
      </c>
      <c r="G12" s="306">
        <f>IFERROR(MAX(0,MIN(1,(AVERAGEIFS('2024_2026'!$N$2:$N$976,'2024_2026'!$B$2:$B$976,"L1",'2024_2026'!$F$2:$F$976,0)-AVERAGEIFS('2024_2026'!$N$2:$N$976,'2024_2026'!$B$2:$B$976,"L1",'2024_2026'!$F$2:$F$976,12))/(AVERAGEIFS('2024_2026'!$N$2:$N$976,'2024_2026'!$B$2:$B$976,"L1",'2024_2026'!$F$2:$F$976,0)-$C12))),"")</f>
        <v>0.21739130434782616</v>
      </c>
      <c r="H12" s="306">
        <f>IFERROR(MAX(0,MIN(1,(AVERAGEIFS('2024_2026'!$N$2:$N$976,'2024_2026'!$B$2:$B$976,"L1",'2024_2026'!$F$2:$F$976,0)-AVERAGEIFS('2024_2026'!$N$2:$N$976,'2024_2026'!$B$2:$B$976,"L1",'2024_2026'!$F$2:$F$976,21))/(AVERAGEIFS('2024_2026'!$N$2:$N$976,'2024_2026'!$B$2:$B$976,"L1",'2024_2026'!$F$2:$F$976,0)-$C12))),"")</f>
        <v>0.37178349600709865</v>
      </c>
      <c r="I12" s="306">
        <f>IFERROR(MAX(0,MIN(1,(AVERAGEIFS('2024_2026'!$N$2:$N$976,'2024_2026'!$B$2:$B$976,"L2",'2024_2026'!$F$2:$F$976,0)-AVERAGEIFS('2024_2026'!$N$2:$N$976,'2024_2026'!$B$2:$B$976,"L2",'2024_2026'!$F$2:$F$976,0))/(AVERAGEIFS('2024_2026'!$N$2:$N$976,'2024_2026'!$B$2:$B$976,"L2",'2024_2026'!$F$2:$F$976,0)-$C12))),"")</f>
        <v>0</v>
      </c>
      <c r="J12" s="306">
        <f>IFERROR(MAX(0,MIN(1,(AVERAGEIFS('2024_2026'!$N$2:$N$976,'2024_2026'!$B$2:$B$976,"L2",'2024_2026'!$F$2:$F$976,0)-AVERAGEIFS('2024_2026'!$N$2:$N$976,'2024_2026'!$B$2:$B$976,"L2",'2024_2026'!$F$2:$F$976,4))/(AVERAGEIFS('2024_2026'!$N$2:$N$976,'2024_2026'!$B$2:$B$976,"L2",'2024_2026'!$F$2:$F$976,0)-$C12))),"")</f>
        <v>0.10262934690415602</v>
      </c>
      <c r="K12" s="306">
        <f>IFERROR(MAX(0,MIN(1,(AVERAGEIFS('2024_2026'!$N$2:$N$976,'2024_2026'!$B$2:$B$976,"L2",'2024_2026'!$F$2:$F$976,0)-AVERAGEIFS('2024_2026'!$N$2:$N$976,'2024_2026'!$B$2:$B$976,"L2",'2024_2026'!$F$2:$F$976,8))/(AVERAGEIFS('2024_2026'!$N$2:$N$976,'2024_2026'!$B$2:$B$976,"L2",'2024_2026'!$F$2:$F$976,0)-$C12))),"")</f>
        <v>0.22900763358778614</v>
      </c>
      <c r="L12" s="306">
        <f>IFERROR(MAX(0,MIN(1,(AVERAGEIFS('2024_2026'!$N$2:$N$976,'2024_2026'!$B$2:$B$976,"L2",'2024_2026'!$F$2:$F$976,0)-AVERAGEIFS('2024_2026'!$N$2:$N$976,'2024_2026'!$B$2:$B$976,"L2",'2024_2026'!$F$2:$F$976,12))/(AVERAGEIFS('2024_2026'!$N$2:$N$976,'2024_2026'!$B$2:$B$976,"L2",'2024_2026'!$F$2:$F$976,0)-$C12))),"")</f>
        <v>0.34181509754028838</v>
      </c>
      <c r="M12" s="306">
        <f>IFERROR(MAX(0,MIN(1,(AVERAGEIFS('2024_2026'!$N$2:$N$976,'2024_2026'!$B$2:$B$976,"L2",'2024_2026'!$F$2:$F$976,0)-AVERAGEIFS('2024_2026'!$N$2:$N$976,'2024_2026'!$B$2:$B$976,"L2",'2024_2026'!$F$2:$F$976,21))/(AVERAGEIFS('2024_2026'!$N$2:$N$976,'2024_2026'!$B$2:$B$976,"L2",'2024_2026'!$F$2:$F$976,0)-$C12))),"")</f>
        <v>0.58269720101781164</v>
      </c>
      <c r="N12" s="306">
        <f>IFERROR(MAX(0,MIN(1,(AVERAGEIFS('2024_2026'!$N$2:$N$976,'2024_2026'!$B$2:$B$976,"L3",'2024_2026'!$F$2:$F$976,0)-AVERAGEIFS('2024_2026'!$N$2:$N$976,'2024_2026'!$B$2:$B$976,"L3",'2024_2026'!$F$2:$F$976,0))/(AVERAGEIFS('2024_2026'!$N$2:$N$976,'2024_2026'!$B$2:$B$976,"L3",'2024_2026'!$F$2:$F$976,0)-$C12))),"")</f>
        <v>0</v>
      </c>
      <c r="O12" s="306">
        <f>IFERROR(MAX(0,MIN(1,(AVERAGEIFS('2024_2026'!$N$2:$N$976,'2024_2026'!$B$2:$B$976,"L3",'2024_2026'!$F$2:$F$976,0)-AVERAGEIFS('2024_2026'!$N$2:$N$976,'2024_2026'!$B$2:$B$976,"L3",'2024_2026'!$F$2:$F$976,4))/(AVERAGEIFS('2024_2026'!$N$2:$N$976,'2024_2026'!$B$2:$B$976,"L3",'2024_2026'!$F$2:$F$976,0)-$C12))),"")</f>
        <v>0.12871287128712872</v>
      </c>
      <c r="P12" s="306">
        <f>IFERROR(MAX(0,MIN(1,(AVERAGEIFS('2024_2026'!$N$2:$N$976,'2024_2026'!$B$2:$B$976,"L3",'2024_2026'!$F$2:$F$976,0)-AVERAGEIFS('2024_2026'!$N$2:$N$976,'2024_2026'!$B$2:$B$976,"L3",'2024_2026'!$F$2:$F$976,8))/(AVERAGEIFS('2024_2026'!$N$2:$N$976,'2024_2026'!$B$2:$B$976,"L3",'2024_2026'!$F$2:$F$976,0)-$C12))),"")</f>
        <v>0.23652365236523645</v>
      </c>
      <c r="Q12" s="306">
        <f>IFERROR(MAX(0,MIN(1,(AVERAGEIFS('2024_2026'!$N$2:$N$976,'2024_2026'!$B$2:$B$976,"L3",'2024_2026'!$F$2:$F$976,0)-AVERAGEIFS('2024_2026'!$N$2:$N$976,'2024_2026'!$B$2:$B$976,"L3",'2024_2026'!$F$2:$F$976,12))/(AVERAGEIFS('2024_2026'!$N$2:$N$976,'2024_2026'!$B$2:$B$976,"L3",'2024_2026'!$F$2:$F$976,0)-$C12))),"")</f>
        <v>0.33223322332233229</v>
      </c>
      <c r="R12" s="306">
        <f>IFERROR(MAX(0,MIN(1,(AVERAGEIFS('2024_2026'!$N$2:$N$976,'2024_2026'!$B$2:$B$976,"L3",'2024_2026'!$F$2:$F$976,0)-AVERAGEIFS('2024_2026'!$N$2:$N$976,'2024_2026'!$B$2:$B$976,"L3",'2024_2026'!$F$2:$F$976,21))/(AVERAGEIFS('2024_2026'!$N$2:$N$976,'2024_2026'!$B$2:$B$976,"L3",'2024_2026'!$F$2:$F$976,0)-$C12))),"")</f>
        <v>0.60726072607260728</v>
      </c>
      <c r="S12" s="306">
        <f>IFERROR(MAX(0,MIN(1,(AVERAGEIFS('2024_2026'!$N$2:$N$976,'2024_2026'!$B$2:$B$976,"S",'2024_2026'!$F$2:$F$976,0)-AVERAGEIFS('2024_2026'!$N$2:$N$976,'2024_2026'!$B$2:$B$976,"S",'2024_2026'!$F$2:$F$976,0))/(AVERAGEIFS('2024_2026'!$N$2:$N$976,'2024_2026'!$B$2:$B$976,"S",'2024_2026'!$F$2:$F$976,0)-$C12))),"")</f>
        <v>0</v>
      </c>
      <c r="T12" s="306">
        <f>IFERROR(MAX(0,MIN(1,(AVERAGEIFS('2024_2026'!$N$2:$N$976,'2024_2026'!$B$2:$B$976,"S",'2024_2026'!$F$2:$F$976,0)-AVERAGEIFS('2024_2026'!$N$2:$N$976,'2024_2026'!$B$2:$B$976,"S",'2024_2026'!$F$2:$F$976,4))/(AVERAGEIFS('2024_2026'!$N$2:$N$976,'2024_2026'!$B$2:$B$976,"S",'2024_2026'!$F$2:$F$976,0)-$C12))),"")</f>
        <v>4.827175208581632E-2</v>
      </c>
      <c r="U12" s="306">
        <f>IFERROR(MAX(0,MIN(1,(AVERAGEIFS('2024_2026'!$N$2:$N$976,'2024_2026'!$B$2:$B$976,"S",'2024_2026'!$F$2:$F$976,0)-AVERAGEIFS('2024_2026'!$N$2:$N$976,'2024_2026'!$B$2:$B$976,"S",'2024_2026'!$F$2:$F$976,8))/(AVERAGEIFS('2024_2026'!$N$2:$N$976,'2024_2026'!$B$2:$B$976,"S",'2024_2026'!$F$2:$F$976,0)-$C12))),"")</f>
        <v>0.1030989272943981</v>
      </c>
      <c r="V12" s="306">
        <f>IFERROR(MAX(0,MIN(1,(AVERAGEIFS('2024_2026'!$N$2:$N$976,'2024_2026'!$B$2:$B$976,"S",'2024_2026'!$F$2:$F$976,0)-AVERAGEIFS('2024_2026'!$N$2:$N$976,'2024_2026'!$B$2:$B$976,"S",'2024_2026'!$F$2:$F$976,12))/(AVERAGEIFS('2024_2026'!$N$2:$N$976,'2024_2026'!$B$2:$B$976,"S",'2024_2026'!$F$2:$F$976,0)-$C12))),"")</f>
        <v>0.14719904648390936</v>
      </c>
      <c r="W12" s="306">
        <f>IFERROR(MAX(0,MIN(1,(AVERAGEIFS('2024_2026'!$N$2:$N$976,'2024_2026'!$B$2:$B$976,"S",'2024_2026'!$F$2:$F$976,0)-AVERAGEIFS('2024_2026'!$N$2:$N$976,'2024_2026'!$B$2:$B$976,"S",'2024_2026'!$F$2:$F$976,21))/(AVERAGEIFS('2024_2026'!$N$2:$N$976,'2024_2026'!$B$2:$B$976,"S",'2024_2026'!$F$2:$F$976,0)-$C12))),"")</f>
        <v>0.26936829558998809</v>
      </c>
    </row>
    <row r="13" spans="1:23" ht="16.5" customHeight="1" x14ac:dyDescent="0.25">
      <c r="A13" s="274" t="s">
        <v>392</v>
      </c>
      <c r="B13" s="72" t="s">
        <v>313</v>
      </c>
      <c r="C13" s="305">
        <v>6</v>
      </c>
      <c r="D13" s="306">
        <f>IFERROR(MAX(0,MIN(1,(AVERAGEIFS('2024_2026'!$O$2:$O$976,'2024_2026'!$B$2:$B$976,"L1",'2024_2026'!$F$2:$F$976,0)-AVERAGEIFS('2024_2026'!$O$2:$O$976,'2024_2026'!$B$2:$B$976,"L1",'2024_2026'!$F$2:$F$976,0))/(AVERAGEIFS('2024_2026'!$O$2:$O$976,'2024_2026'!$B$2:$B$976,"L1",'2024_2026'!$F$2:$F$976,0)-$C13))),"")</f>
        <v>0</v>
      </c>
      <c r="E13" s="306">
        <f>IFERROR(MAX(0,MIN(1,(AVERAGEIFS('2024_2026'!$O$2:$O$976,'2024_2026'!$B$2:$B$976,"L1",'2024_2026'!$F$2:$F$976,0)-AVERAGEIFS('2024_2026'!$O$2:$O$976,'2024_2026'!$B$2:$B$976,"L1",'2024_2026'!$F$2:$F$976,4))/(AVERAGEIFS('2024_2026'!$O$2:$O$976,'2024_2026'!$B$2:$B$976,"L1",'2024_2026'!$F$2:$F$976,0)-$C13))),"")</f>
        <v>5.4172274562583576E-2</v>
      </c>
      <c r="F13" s="306">
        <f>IFERROR(MAX(0,MIN(1,(AVERAGEIFS('2024_2026'!$O$2:$O$976,'2024_2026'!$B$2:$B$976,"L1",'2024_2026'!$F$2:$F$976,0)-AVERAGEIFS('2024_2026'!$O$2:$O$976,'2024_2026'!$B$2:$B$976,"L1",'2024_2026'!$F$2:$F$976,8))/(AVERAGEIFS('2024_2026'!$O$2:$O$976,'2024_2026'!$B$2:$B$976,"L1",'2024_2026'!$F$2:$F$976,0)-$C13))),"")</f>
        <v>0.11204576043068594</v>
      </c>
      <c r="G13" s="306">
        <f>IFERROR(MAX(0,MIN(1,(AVERAGEIFS('2024_2026'!$O$2:$O$976,'2024_2026'!$B$2:$B$976,"L1",'2024_2026'!$F$2:$F$976,0)-AVERAGEIFS('2024_2026'!$O$2:$O$976,'2024_2026'!$B$2:$B$976,"L1",'2024_2026'!$F$2:$F$976,12))/(AVERAGEIFS('2024_2026'!$O$2:$O$976,'2024_2026'!$B$2:$B$976,"L1",'2024_2026'!$F$2:$F$976,0)-$C13))),"")</f>
        <v>0.17294751009421214</v>
      </c>
      <c r="H13" s="306">
        <f>IFERROR(MAX(0,MIN(1,(AVERAGEIFS('2024_2026'!$O$2:$O$976,'2024_2026'!$B$2:$B$976,"L1",'2024_2026'!$F$2:$F$976,0)-AVERAGEIFS('2024_2026'!$O$2:$O$976,'2024_2026'!$B$2:$B$976,"L1",'2024_2026'!$F$2:$F$976,21))/(AVERAGEIFS('2024_2026'!$O$2:$O$976,'2024_2026'!$B$2:$B$976,"L1",'2024_2026'!$F$2:$F$976,0)-$C13))),"")</f>
        <v>0.32133243606998618</v>
      </c>
      <c r="I13" s="306">
        <f>IFERROR(MAX(0,MIN(1,(AVERAGEIFS('2024_2026'!$O$2:$O$976,'2024_2026'!$B$2:$B$976,"L2",'2024_2026'!$F$2:$F$976,0)-AVERAGEIFS('2024_2026'!$O$2:$O$976,'2024_2026'!$B$2:$B$976,"L2",'2024_2026'!$F$2:$F$976,0))/(AVERAGEIFS('2024_2026'!$O$2:$O$976,'2024_2026'!$B$2:$B$976,"L2",'2024_2026'!$F$2:$F$976,0)-$C13))),"")</f>
        <v>0</v>
      </c>
      <c r="J13" s="306">
        <f>IFERROR(MAX(0,MIN(1,(AVERAGEIFS('2024_2026'!$O$2:$O$976,'2024_2026'!$B$2:$B$976,"L2",'2024_2026'!$F$2:$F$976,0)-AVERAGEIFS('2024_2026'!$O$2:$O$976,'2024_2026'!$B$2:$B$976,"L2",'2024_2026'!$F$2:$F$976,4))/(AVERAGEIFS('2024_2026'!$O$2:$O$976,'2024_2026'!$B$2:$B$976,"L2",'2024_2026'!$F$2:$F$976,0)-$C13))),"")</f>
        <v>0.11498855835240228</v>
      </c>
      <c r="K13" s="306">
        <f>IFERROR(MAX(0,MIN(1,(AVERAGEIFS('2024_2026'!$O$2:$O$976,'2024_2026'!$B$2:$B$976,"L2",'2024_2026'!$F$2:$F$976,0)-AVERAGEIFS('2024_2026'!$O$2:$O$976,'2024_2026'!$B$2:$B$976,"L2",'2024_2026'!$F$2:$F$976,8))/(AVERAGEIFS('2024_2026'!$O$2:$O$976,'2024_2026'!$B$2:$B$976,"L2",'2024_2026'!$F$2:$F$976,0)-$C13))),"")</f>
        <v>0.21710526315789375</v>
      </c>
      <c r="L13" s="306">
        <f>IFERROR(MAX(0,MIN(1,(AVERAGEIFS('2024_2026'!$O$2:$O$976,'2024_2026'!$B$2:$B$976,"L2",'2024_2026'!$F$2:$F$976,0)-AVERAGEIFS('2024_2026'!$O$2:$O$976,'2024_2026'!$B$2:$B$976,"L2",'2024_2026'!$F$2:$F$976,12))/(AVERAGEIFS('2024_2026'!$O$2:$O$976,'2024_2026'!$B$2:$B$976,"L2",'2024_2026'!$F$2:$F$976,0)-$C13))),"")</f>
        <v>0.31407322654462211</v>
      </c>
      <c r="M13" s="306">
        <f>IFERROR(MAX(0,MIN(1,(AVERAGEIFS('2024_2026'!$O$2:$O$976,'2024_2026'!$B$2:$B$976,"L2",'2024_2026'!$F$2:$F$976,0)-AVERAGEIFS('2024_2026'!$O$2:$O$976,'2024_2026'!$B$2:$B$976,"L2",'2024_2026'!$F$2:$F$976,21))/(AVERAGEIFS('2024_2026'!$O$2:$O$976,'2024_2026'!$B$2:$B$976,"L2",'2024_2026'!$F$2:$F$976,0)-$C13))),"")</f>
        <v>0.5514874141876428</v>
      </c>
      <c r="N13" s="306">
        <f>IFERROR(MAX(0,MIN(1,(AVERAGEIFS('2024_2026'!$O$2:$O$976,'2024_2026'!$B$2:$B$976,"L3",'2024_2026'!$F$2:$F$976,0)-AVERAGEIFS('2024_2026'!$O$2:$O$976,'2024_2026'!$B$2:$B$976,"L3",'2024_2026'!$F$2:$F$976,0))/(AVERAGEIFS('2024_2026'!$O$2:$O$976,'2024_2026'!$B$2:$B$976,"L3",'2024_2026'!$F$2:$F$976,0)-$C13))),"")</f>
        <v>0</v>
      </c>
      <c r="O13" s="306">
        <f>IFERROR(MAX(0,MIN(1,(AVERAGEIFS('2024_2026'!$O$2:$O$976,'2024_2026'!$B$2:$B$976,"L3",'2024_2026'!$F$2:$F$976,0)-AVERAGEIFS('2024_2026'!$O$2:$O$976,'2024_2026'!$B$2:$B$976,"L3",'2024_2026'!$F$2:$F$976,4))/(AVERAGEIFS('2024_2026'!$O$2:$O$976,'2024_2026'!$B$2:$B$976,"L3",'2024_2026'!$F$2:$F$976,0)-$C13))),"")</f>
        <v>0.10487715438210501</v>
      </c>
      <c r="P13" s="306">
        <f>IFERROR(MAX(0,MIN(1,(AVERAGEIFS('2024_2026'!$O$2:$O$976,'2024_2026'!$B$2:$B$976,"L3",'2024_2026'!$F$2:$F$976,0)-AVERAGEIFS('2024_2026'!$O$2:$O$976,'2024_2026'!$B$2:$B$976,"L3",'2024_2026'!$F$2:$F$976,8))/(AVERAGEIFS('2024_2026'!$O$2:$O$976,'2024_2026'!$B$2:$B$976,"L3",'2024_2026'!$F$2:$F$976,0)-$C13))),"")</f>
        <v>0.21195452878621171</v>
      </c>
      <c r="Q13" s="306">
        <f>IFERROR(MAX(0,MIN(1,(AVERAGEIFS('2024_2026'!$O$2:$O$976,'2024_2026'!$B$2:$B$976,"L3",'2024_2026'!$F$2:$F$976,0)-AVERAGEIFS('2024_2026'!$O$2:$O$976,'2024_2026'!$B$2:$B$976,"L3",'2024_2026'!$F$2:$F$976,12))/(AVERAGEIFS('2024_2026'!$O$2:$O$976,'2024_2026'!$B$2:$B$976,"L3",'2024_2026'!$F$2:$F$976,0)-$C13))),"")</f>
        <v>0.33700036670333655</v>
      </c>
      <c r="R13" s="306">
        <f>IFERROR(MAX(0,MIN(1,(AVERAGEIFS('2024_2026'!$O$2:$O$976,'2024_2026'!$B$2:$B$976,"L3",'2024_2026'!$F$2:$F$976,0)-AVERAGEIFS('2024_2026'!$O$2:$O$976,'2024_2026'!$B$2:$B$976,"L3",'2024_2026'!$F$2:$F$976,21))/(AVERAGEIFS('2024_2026'!$O$2:$O$976,'2024_2026'!$B$2:$B$976,"L3",'2024_2026'!$F$2:$F$976,0)-$C13))),"")</f>
        <v>0.51375137513751401</v>
      </c>
      <c r="S13" s="306">
        <f>IFERROR(MAX(0,MIN(1,(AVERAGEIFS('2024_2026'!$O$2:$O$976,'2024_2026'!$B$2:$B$976,"S",'2024_2026'!$F$2:$F$976,0)-AVERAGEIFS('2024_2026'!$O$2:$O$976,'2024_2026'!$B$2:$B$976,"S",'2024_2026'!$F$2:$F$976,0))/(AVERAGEIFS('2024_2026'!$O$2:$O$976,'2024_2026'!$B$2:$B$976,"S",'2024_2026'!$F$2:$F$976,0)-$C13))),"")</f>
        <v>0</v>
      </c>
      <c r="T13" s="306">
        <f>IFERROR(MAX(0,MIN(1,(AVERAGEIFS('2024_2026'!$O$2:$O$976,'2024_2026'!$B$2:$B$976,"S",'2024_2026'!$F$2:$F$976,0)-AVERAGEIFS('2024_2026'!$O$2:$O$976,'2024_2026'!$B$2:$B$976,"S",'2024_2026'!$F$2:$F$976,4))/(AVERAGEIFS('2024_2026'!$O$2:$O$976,'2024_2026'!$B$2:$B$976,"S",'2024_2026'!$F$2:$F$976,0)-$C13))),"")</f>
        <v>5.6404958677686495E-2</v>
      </c>
      <c r="U13" s="306">
        <f>IFERROR(MAX(0,MIN(1,(AVERAGEIFS('2024_2026'!$O$2:$O$976,'2024_2026'!$B$2:$B$976,"S",'2024_2026'!$F$2:$F$976,0)-AVERAGEIFS('2024_2026'!$O$2:$O$976,'2024_2026'!$B$2:$B$976,"S",'2024_2026'!$F$2:$F$976,8))/(AVERAGEIFS('2024_2026'!$O$2:$O$976,'2024_2026'!$B$2:$B$976,"S",'2024_2026'!$F$2:$F$976,0)-$C13))),"")</f>
        <v>0.10805785123966939</v>
      </c>
      <c r="V13" s="306">
        <f>IFERROR(MAX(0,MIN(1,(AVERAGEIFS('2024_2026'!$O$2:$O$976,'2024_2026'!$B$2:$B$976,"S",'2024_2026'!$F$2:$F$976,0)-AVERAGEIFS('2024_2026'!$O$2:$O$976,'2024_2026'!$B$2:$B$976,"S",'2024_2026'!$F$2:$F$976,12))/(AVERAGEIFS('2024_2026'!$O$2:$O$976,'2024_2026'!$B$2:$B$976,"S",'2024_2026'!$F$2:$F$976,0)-$C13))),"")</f>
        <v>0.15847107438016531</v>
      </c>
      <c r="W13" s="306">
        <f>IFERROR(MAX(0,MIN(1,(AVERAGEIFS('2024_2026'!$O$2:$O$976,'2024_2026'!$B$2:$B$976,"S",'2024_2026'!$F$2:$F$976,0)-AVERAGEIFS('2024_2026'!$O$2:$O$976,'2024_2026'!$B$2:$B$976,"S",'2024_2026'!$F$2:$F$976,21))/(AVERAGEIFS('2024_2026'!$O$2:$O$976,'2024_2026'!$B$2:$B$976,"S",'2024_2026'!$F$2:$F$976,0)-$C13))),"")</f>
        <v>0.26652892561983493</v>
      </c>
    </row>
    <row r="14" spans="1:23" ht="16.5" customHeight="1" x14ac:dyDescent="0.25">
      <c r="A14" s="274" t="s">
        <v>395</v>
      </c>
      <c r="B14" s="72" t="s">
        <v>313</v>
      </c>
      <c r="C14" s="305">
        <v>6</v>
      </c>
      <c r="D14" s="306">
        <f>IFERROR(MAX(0,MIN(1,(AVERAGEIFS('2024_2026'!$P$2:$P$976,'2024_2026'!$B$2:$B$976,"L1",'2024_2026'!$F$2:$F$976,0)-AVERAGEIFS('2024_2026'!$P$2:$P$976,'2024_2026'!$B$2:$B$976,"L1",'2024_2026'!$F$2:$F$976,0))/(AVERAGEIFS('2024_2026'!$P$2:$P$976,'2024_2026'!$B$2:$B$976,"L1",'2024_2026'!$F$2:$F$976,0)-$C14))),"")</f>
        <v>0</v>
      </c>
      <c r="E14" s="306">
        <f>IFERROR(MAX(0,MIN(1,(AVERAGEIFS('2024_2026'!$P$2:$P$976,'2024_2026'!$B$2:$B$976,"L1",'2024_2026'!$F$2:$F$976,0)-AVERAGEIFS('2024_2026'!$P$2:$P$976,'2024_2026'!$B$2:$B$976,"L1",'2024_2026'!$F$2:$F$976,4))/(AVERAGEIFS('2024_2026'!$P$2:$P$976,'2024_2026'!$B$2:$B$976,"L1",'2024_2026'!$F$2:$F$976,0)-$C14))),"")</f>
        <v>6.8755439512620073E-2</v>
      </c>
      <c r="F14" s="306">
        <f>IFERROR(MAX(0,MIN(1,(AVERAGEIFS('2024_2026'!$P$2:$P$976,'2024_2026'!$B$2:$B$976,"L1",'2024_2026'!$F$2:$F$976,0)-AVERAGEIFS('2024_2026'!$P$2:$P$976,'2024_2026'!$B$2:$B$976,"L1",'2024_2026'!$F$2:$F$976,8))/(AVERAGEIFS('2024_2026'!$P$2:$P$976,'2024_2026'!$B$2:$B$976,"L1",'2024_2026'!$F$2:$F$976,0)-$C14))),"")</f>
        <v>0.14447345517841581</v>
      </c>
      <c r="G14" s="306">
        <f>IFERROR(MAX(0,MIN(1,(AVERAGEIFS('2024_2026'!$P$2:$P$976,'2024_2026'!$B$2:$B$976,"L1",'2024_2026'!$F$2:$F$976,0)-AVERAGEIFS('2024_2026'!$P$2:$P$976,'2024_2026'!$B$2:$B$976,"L1",'2024_2026'!$F$2:$F$976,12))/(AVERAGEIFS('2024_2026'!$P$2:$P$976,'2024_2026'!$B$2:$B$976,"L1",'2024_2026'!$F$2:$F$976,0)-$C14))),"")</f>
        <v>0.16753698868581396</v>
      </c>
      <c r="H14" s="306">
        <f>IFERROR(MAX(0,MIN(1,(AVERAGEIFS('2024_2026'!$P$2:$P$976,'2024_2026'!$B$2:$B$976,"L1",'2024_2026'!$F$2:$F$976,0)-AVERAGEIFS('2024_2026'!$P$2:$P$976,'2024_2026'!$B$2:$B$976,"L1",'2024_2026'!$F$2:$F$976,21))/(AVERAGEIFS('2024_2026'!$P$2:$P$976,'2024_2026'!$B$2:$B$976,"L1",'2024_2026'!$F$2:$F$976,0)-$C14))),"")</f>
        <v>0.36945169712793779</v>
      </c>
      <c r="I14" s="306">
        <f>IFERROR(MAX(0,MIN(1,(AVERAGEIFS('2024_2026'!$P$2:$P$976,'2024_2026'!$B$2:$B$976,"L2",'2024_2026'!$F$2:$F$976,0)-AVERAGEIFS('2024_2026'!$P$2:$P$976,'2024_2026'!$B$2:$B$976,"L2",'2024_2026'!$F$2:$F$976,0))/(AVERAGEIFS('2024_2026'!$P$2:$P$976,'2024_2026'!$B$2:$B$976,"L2",'2024_2026'!$F$2:$F$976,0)-$C14))),"")</f>
        <v>0</v>
      </c>
      <c r="J14" s="306">
        <f>IFERROR(MAX(0,MIN(1,(AVERAGEIFS('2024_2026'!$P$2:$P$976,'2024_2026'!$B$2:$B$976,"L2",'2024_2026'!$F$2:$F$976,0)-AVERAGEIFS('2024_2026'!$P$2:$P$976,'2024_2026'!$B$2:$B$976,"L2",'2024_2026'!$F$2:$F$976,4))/(AVERAGEIFS('2024_2026'!$P$2:$P$976,'2024_2026'!$B$2:$B$976,"L2",'2024_2026'!$F$2:$F$976,0)-$C14))),"")</f>
        <v>0.10772744575561556</v>
      </c>
      <c r="K14" s="306">
        <f>IFERROR(MAX(0,MIN(1,(AVERAGEIFS('2024_2026'!$P$2:$P$976,'2024_2026'!$B$2:$B$976,"L2",'2024_2026'!$F$2:$F$976,0)-AVERAGEIFS('2024_2026'!$P$2:$P$976,'2024_2026'!$B$2:$B$976,"L2",'2024_2026'!$F$2:$F$976,8))/(AVERAGEIFS('2024_2026'!$P$2:$P$976,'2024_2026'!$B$2:$B$976,"L2",'2024_2026'!$F$2:$F$976,0)-$C14))),"")</f>
        <v>0.20860296916634941</v>
      </c>
      <c r="L14" s="306">
        <f>IFERROR(MAX(0,MIN(1,(AVERAGEIFS('2024_2026'!$P$2:$P$976,'2024_2026'!$B$2:$B$976,"L2",'2024_2026'!$F$2:$F$976,0)-AVERAGEIFS('2024_2026'!$P$2:$P$976,'2024_2026'!$B$2:$B$976,"L2",'2024_2026'!$F$2:$F$976,12))/(AVERAGEIFS('2024_2026'!$P$2:$P$976,'2024_2026'!$B$2:$B$976,"L2",'2024_2026'!$F$2:$F$976,0)-$C14))),"")</f>
        <v>0.31100114198705764</v>
      </c>
      <c r="M14" s="306">
        <f>IFERROR(MAX(0,MIN(1,(AVERAGEIFS('2024_2026'!$P$2:$P$976,'2024_2026'!$B$2:$B$976,"L2",'2024_2026'!$F$2:$F$976,0)-AVERAGEIFS('2024_2026'!$P$2:$P$976,'2024_2026'!$B$2:$B$976,"L2",'2024_2026'!$F$2:$F$976,21))/(AVERAGEIFS('2024_2026'!$P$2:$P$976,'2024_2026'!$B$2:$B$976,"L2",'2024_2026'!$F$2:$F$976,0)-$C14))),"")</f>
        <v>0.55119908641035409</v>
      </c>
      <c r="N14" s="306">
        <f>IFERROR(MAX(0,MIN(1,(AVERAGEIFS('2024_2026'!$P$2:$P$976,'2024_2026'!$B$2:$B$976,"L3",'2024_2026'!$F$2:$F$976,0)-AVERAGEIFS('2024_2026'!$P$2:$P$976,'2024_2026'!$B$2:$B$976,"L3",'2024_2026'!$F$2:$F$976,0))/(AVERAGEIFS('2024_2026'!$P$2:$P$976,'2024_2026'!$B$2:$B$976,"L3",'2024_2026'!$F$2:$F$976,0)-$C14))),"")</f>
        <v>0</v>
      </c>
      <c r="O14" s="306">
        <f>IFERROR(MAX(0,MIN(1,(AVERAGEIFS('2024_2026'!$P$2:$P$976,'2024_2026'!$B$2:$B$976,"L3",'2024_2026'!$F$2:$F$976,0)-AVERAGEIFS('2024_2026'!$P$2:$P$976,'2024_2026'!$B$2:$B$976,"L3",'2024_2026'!$F$2:$F$976,4))/(AVERAGEIFS('2024_2026'!$P$2:$P$976,'2024_2026'!$B$2:$B$976,"L3",'2024_2026'!$F$2:$F$976,0)-$C14))),"")</f>
        <v>9.6003475238923233E-2</v>
      </c>
      <c r="P14" s="306">
        <f>IFERROR(MAX(0,MIN(1,(AVERAGEIFS('2024_2026'!$P$2:$P$976,'2024_2026'!$B$2:$B$976,"L3",'2024_2026'!$F$2:$F$976,0)-AVERAGEIFS('2024_2026'!$P$2:$P$976,'2024_2026'!$B$2:$B$976,"L3",'2024_2026'!$F$2:$F$976,8))/(AVERAGEIFS('2024_2026'!$P$2:$P$976,'2024_2026'!$B$2:$B$976,"L3",'2024_2026'!$F$2:$F$976,0)-$C14))),"")</f>
        <v>0.20807993049522139</v>
      </c>
      <c r="Q14" s="306">
        <f>IFERROR(MAX(0,MIN(1,(AVERAGEIFS('2024_2026'!$P$2:$P$976,'2024_2026'!$B$2:$B$976,"L3",'2024_2026'!$F$2:$F$976,0)-AVERAGEIFS('2024_2026'!$P$2:$P$976,'2024_2026'!$B$2:$B$976,"L3",'2024_2026'!$F$2:$F$976,12))/(AVERAGEIFS('2024_2026'!$P$2:$P$976,'2024_2026'!$B$2:$B$976,"L3",'2024_2026'!$F$2:$F$976,0)-$C14))),"")</f>
        <v>0.29973935708079974</v>
      </c>
      <c r="R14" s="306">
        <f>IFERROR(MAX(0,MIN(1,(AVERAGEIFS('2024_2026'!$P$2:$P$976,'2024_2026'!$B$2:$B$976,"L3",'2024_2026'!$F$2:$F$976,0)-AVERAGEIFS('2024_2026'!$P$2:$P$976,'2024_2026'!$B$2:$B$976,"L3",'2024_2026'!$F$2:$F$976,21))/(AVERAGEIFS('2024_2026'!$P$2:$P$976,'2024_2026'!$B$2:$B$976,"L3",'2024_2026'!$F$2:$F$976,0)-$C14))),"")</f>
        <v>0.53431798436142475</v>
      </c>
      <c r="S14" s="306">
        <f>IFERROR(MAX(0,MIN(1,(AVERAGEIFS('2024_2026'!$P$2:$P$976,'2024_2026'!$B$2:$B$976,"S",'2024_2026'!$F$2:$F$976,0)-AVERAGEIFS('2024_2026'!$P$2:$P$976,'2024_2026'!$B$2:$B$976,"S",'2024_2026'!$F$2:$F$976,0))/(AVERAGEIFS('2024_2026'!$P$2:$P$976,'2024_2026'!$B$2:$B$976,"S",'2024_2026'!$F$2:$F$976,0)-$C14))),"")</f>
        <v>0</v>
      </c>
      <c r="T14" s="306">
        <f>IFERROR(MAX(0,MIN(1,(AVERAGEIFS('2024_2026'!$P$2:$P$976,'2024_2026'!$B$2:$B$976,"S",'2024_2026'!$F$2:$F$976,0)-AVERAGEIFS('2024_2026'!$P$2:$P$976,'2024_2026'!$B$2:$B$976,"S",'2024_2026'!$F$2:$F$976,4))/(AVERAGEIFS('2024_2026'!$P$2:$P$976,'2024_2026'!$B$2:$B$976,"S",'2024_2026'!$F$2:$F$976,0)-$C14))),"")</f>
        <v>7.009735744088999E-2</v>
      </c>
      <c r="U14" s="306">
        <f>IFERROR(MAX(0,MIN(1,(AVERAGEIFS('2024_2026'!$P$2:$P$976,'2024_2026'!$B$2:$B$976,"S",'2024_2026'!$F$2:$F$976,0)-AVERAGEIFS('2024_2026'!$P$2:$P$976,'2024_2026'!$B$2:$B$976,"S",'2024_2026'!$F$2:$F$976,8))/(AVERAGEIFS('2024_2026'!$P$2:$P$976,'2024_2026'!$B$2:$B$976,"S",'2024_2026'!$F$2:$F$976,0)-$C14))),"")</f>
        <v>0.10514603616133482</v>
      </c>
      <c r="V14" s="306">
        <f>IFERROR(MAX(0,MIN(1,(AVERAGEIFS('2024_2026'!$P$2:$P$976,'2024_2026'!$B$2:$B$976,"S",'2024_2026'!$F$2:$F$976,0)-AVERAGEIFS('2024_2026'!$P$2:$P$976,'2024_2026'!$B$2:$B$976,"S",'2024_2026'!$F$2:$F$976,12))/(AVERAGEIFS('2024_2026'!$P$2:$P$976,'2024_2026'!$B$2:$B$976,"S",'2024_2026'!$F$2:$F$976,0)-$C14))),"")</f>
        <v>0.14937413073713487</v>
      </c>
      <c r="W14" s="306">
        <f>IFERROR(MAX(0,MIN(1,(AVERAGEIFS('2024_2026'!$P$2:$P$976,'2024_2026'!$B$2:$B$976,"S",'2024_2026'!$F$2:$F$976,0)-AVERAGEIFS('2024_2026'!$P$2:$P$976,'2024_2026'!$B$2:$B$976,"S",'2024_2026'!$F$2:$F$976,21))/(AVERAGEIFS('2024_2026'!$P$2:$P$976,'2024_2026'!$B$2:$B$976,"S",'2024_2026'!$F$2:$F$976,0)-$C14))),"")</f>
        <v>0.26898470097357419</v>
      </c>
    </row>
    <row r="15" spans="1:23" ht="16.5" customHeight="1" x14ac:dyDescent="0.25">
      <c r="A15" s="274" t="s">
        <v>206</v>
      </c>
      <c r="B15" s="72" t="s">
        <v>313</v>
      </c>
      <c r="C15" s="305">
        <v>20</v>
      </c>
      <c r="D15" s="306">
        <f>IFERROR(MAX(0,MIN(1,(AVERAGEIFS('2024_2026'!$Q$2:$Q$976,'2024_2026'!$B$2:$B$976,"L1",'2024_2026'!$F$2:$F$976,0)-AVERAGEIFS('2024_2026'!$Q$2:$Q$976,'2024_2026'!$B$2:$B$976,"L1",'2024_2026'!$F$2:$F$976,0))/(AVERAGEIFS('2024_2026'!$Q$2:$Q$976,'2024_2026'!$B$2:$B$976,"L1",'2024_2026'!$F$2:$F$976,0)-$C15))),"")</f>
        <v>0</v>
      </c>
      <c r="E15" s="306">
        <f>IFERROR(MAX(0,MIN(1,(AVERAGEIFS('2024_2026'!$Q$2:$Q$976,'2024_2026'!$B$2:$B$976,"L1",'2024_2026'!$F$2:$F$976,0)-AVERAGEIFS('2024_2026'!$Q$2:$Q$976,'2024_2026'!$B$2:$B$976,"L1",'2024_2026'!$F$2:$F$976,4))/(AVERAGEIFS('2024_2026'!$Q$2:$Q$976,'2024_2026'!$B$2:$B$976,"L1",'2024_2026'!$F$2:$F$976,0)-$C15))),"")</f>
        <v>6.6146113803625992E-2</v>
      </c>
      <c r="F15" s="306">
        <f>IFERROR(MAX(0,MIN(1,(AVERAGEIFS('2024_2026'!$Q$2:$Q$976,'2024_2026'!$B$2:$B$976,"L1",'2024_2026'!$F$2:$F$976,0)-AVERAGEIFS('2024_2026'!$Q$2:$Q$976,'2024_2026'!$B$2:$B$976,"L1",'2024_2026'!$F$2:$F$976,8))/(AVERAGEIFS('2024_2026'!$Q$2:$Q$976,'2024_2026'!$B$2:$B$976,"L1",'2024_2026'!$F$2:$F$976,0)-$C15))),"")</f>
        <v>0.16487165679411225</v>
      </c>
      <c r="G15" s="306">
        <f>IFERROR(MAX(0,MIN(1,(AVERAGEIFS('2024_2026'!$Q$2:$Q$976,'2024_2026'!$B$2:$B$976,"L1",'2024_2026'!$F$2:$F$976,0)-AVERAGEIFS('2024_2026'!$Q$2:$Q$976,'2024_2026'!$B$2:$B$976,"L1",'2024_2026'!$F$2:$F$976,12))/(AVERAGEIFS('2024_2026'!$Q$2:$Q$976,'2024_2026'!$B$2:$B$976,"L1",'2024_2026'!$F$2:$F$976,0)-$C15))),"")</f>
        <v>0.24205708131394671</v>
      </c>
      <c r="H15" s="306">
        <f>IFERROR(MAX(0,MIN(1,(AVERAGEIFS('2024_2026'!$Q$2:$Q$976,'2024_2026'!$B$2:$B$976,"L1",'2024_2026'!$F$2:$F$976,0)-AVERAGEIFS('2024_2026'!$Q$2:$Q$976,'2024_2026'!$B$2:$B$976,"L1",'2024_2026'!$F$2:$F$976,21))/(AVERAGEIFS('2024_2026'!$Q$2:$Q$976,'2024_2026'!$B$2:$B$976,"L1",'2024_2026'!$F$2:$F$976,0)-$C15))),"")</f>
        <v>0.42209657153114299</v>
      </c>
      <c r="I15" s="306">
        <f>IFERROR(MAX(0,MIN(1,(AVERAGEIFS('2024_2026'!$Q$2:$Q$976,'2024_2026'!$B$2:$B$976,"L2",'2024_2026'!$F$2:$F$976,0)-AVERAGEIFS('2024_2026'!$Q$2:$Q$976,'2024_2026'!$B$2:$B$976,"L2",'2024_2026'!$F$2:$F$976,0))/(AVERAGEIFS('2024_2026'!$Q$2:$Q$976,'2024_2026'!$B$2:$B$976,"L2",'2024_2026'!$F$2:$F$976,0)-$C15))),"")</f>
        <v>0</v>
      </c>
      <c r="J15" s="306">
        <f>IFERROR(MAX(0,MIN(1,(AVERAGEIFS('2024_2026'!$Q$2:$Q$976,'2024_2026'!$B$2:$B$976,"L2",'2024_2026'!$F$2:$F$976,0)-AVERAGEIFS('2024_2026'!$Q$2:$Q$976,'2024_2026'!$B$2:$B$976,"L2",'2024_2026'!$F$2:$F$976,4))/(AVERAGEIFS('2024_2026'!$Q$2:$Q$976,'2024_2026'!$B$2:$B$976,"L2",'2024_2026'!$F$2:$F$976,0)-$C15))),"")</f>
        <v>0.12405265257279632</v>
      </c>
      <c r="K15" s="306">
        <f>IFERROR(MAX(0,MIN(1,(AVERAGEIFS('2024_2026'!$Q$2:$Q$976,'2024_2026'!$B$2:$B$976,"L2",'2024_2026'!$F$2:$F$976,0)-AVERAGEIFS('2024_2026'!$Q$2:$Q$976,'2024_2026'!$B$2:$B$976,"L2",'2024_2026'!$F$2:$F$976,8))/(AVERAGEIFS('2024_2026'!$Q$2:$Q$976,'2024_2026'!$B$2:$B$976,"L2",'2024_2026'!$F$2:$F$976,0)-$C15))),"")</f>
        <v>0.26166733147187859</v>
      </c>
      <c r="L15" s="306">
        <f>IFERROR(MAX(0,MIN(1,(AVERAGEIFS('2024_2026'!$Q$2:$Q$976,'2024_2026'!$B$2:$B$976,"L2",'2024_2026'!$F$2:$F$976,0)-AVERAGEIFS('2024_2026'!$Q$2:$Q$976,'2024_2026'!$B$2:$B$976,"L2",'2024_2026'!$F$2:$F$976,12))/(AVERAGEIFS('2024_2026'!$Q$2:$Q$976,'2024_2026'!$B$2:$B$976,"L2",'2024_2026'!$F$2:$F$976,0)-$C15))),"")</f>
        <v>0.3822098125249303</v>
      </c>
      <c r="M15" s="306">
        <f>IFERROR(MAX(0,MIN(1,(AVERAGEIFS('2024_2026'!$Q$2:$Q$976,'2024_2026'!$B$2:$B$976,"L2",'2024_2026'!$F$2:$F$976,0)-AVERAGEIFS('2024_2026'!$Q$2:$Q$976,'2024_2026'!$B$2:$B$976,"L2",'2024_2026'!$F$2:$F$976,21))/(AVERAGEIFS('2024_2026'!$Q$2:$Q$976,'2024_2026'!$B$2:$B$976,"L2",'2024_2026'!$F$2:$F$976,0)-$C15))),"")</f>
        <v>0.68504188272836053</v>
      </c>
      <c r="N15" s="306">
        <f>IFERROR(MAX(0,MIN(1,(AVERAGEIFS('2024_2026'!$Q$2:$Q$976,'2024_2026'!$B$2:$B$976,"L3",'2024_2026'!$F$2:$F$976,0)-AVERAGEIFS('2024_2026'!$Q$2:$Q$976,'2024_2026'!$B$2:$B$976,"L3",'2024_2026'!$F$2:$F$976,0))/(AVERAGEIFS('2024_2026'!$Q$2:$Q$976,'2024_2026'!$B$2:$B$976,"L3",'2024_2026'!$F$2:$F$976,0)-$C15))),"")</f>
        <v>0</v>
      </c>
      <c r="O15" s="306">
        <f>IFERROR(MAX(0,MIN(1,(AVERAGEIFS('2024_2026'!$Q$2:$Q$976,'2024_2026'!$B$2:$B$976,"L3",'2024_2026'!$F$2:$F$976,0)-AVERAGEIFS('2024_2026'!$Q$2:$Q$976,'2024_2026'!$B$2:$B$976,"L3",'2024_2026'!$F$2:$F$976,4))/(AVERAGEIFS('2024_2026'!$Q$2:$Q$976,'2024_2026'!$B$2:$B$976,"L3",'2024_2026'!$F$2:$F$976,0)-$C15))),"")</f>
        <v>0.13215815157852689</v>
      </c>
      <c r="P15" s="306">
        <f>IFERROR(MAX(0,MIN(1,(AVERAGEIFS('2024_2026'!$Q$2:$Q$976,'2024_2026'!$B$2:$B$976,"L3",'2024_2026'!$F$2:$F$976,0)-AVERAGEIFS('2024_2026'!$Q$2:$Q$976,'2024_2026'!$B$2:$B$976,"L3",'2024_2026'!$F$2:$F$976,8))/(AVERAGEIFS('2024_2026'!$Q$2:$Q$976,'2024_2026'!$B$2:$B$976,"L3",'2024_2026'!$F$2:$F$976,0)-$C15))),"")</f>
        <v>0.26282242804501471</v>
      </c>
      <c r="Q15" s="306">
        <f>IFERROR(MAX(0,MIN(1,(AVERAGEIFS('2024_2026'!$Q$2:$Q$976,'2024_2026'!$B$2:$B$976,"L3",'2024_2026'!$F$2:$F$976,0)-AVERAGEIFS('2024_2026'!$Q$2:$Q$976,'2024_2026'!$B$2:$B$976,"L3",'2024_2026'!$F$2:$F$976,12))/(AVERAGEIFS('2024_2026'!$Q$2:$Q$976,'2024_2026'!$B$2:$B$976,"L3",'2024_2026'!$F$2:$F$976,0)-$C15))),"")</f>
        <v>0.37595856986355919</v>
      </c>
      <c r="R15" s="306">
        <f>IFERROR(MAX(0,MIN(1,(AVERAGEIFS('2024_2026'!$Q$2:$Q$976,'2024_2026'!$B$2:$B$976,"L3",'2024_2026'!$F$2:$F$976,0)-AVERAGEIFS('2024_2026'!$Q$2:$Q$976,'2024_2026'!$B$2:$B$976,"L3",'2024_2026'!$F$2:$F$976,21))/(AVERAGEIFS('2024_2026'!$Q$2:$Q$976,'2024_2026'!$B$2:$B$976,"L3",'2024_2026'!$F$2:$F$976,0)-$C15))),"")</f>
        <v>0.68967234339209238</v>
      </c>
      <c r="S15" s="306">
        <f>IFERROR(MAX(0,MIN(1,(AVERAGEIFS('2024_2026'!$Q$2:$Q$976,'2024_2026'!$B$2:$B$976,"S",'2024_2026'!$F$2:$F$976,0)-AVERAGEIFS('2024_2026'!$Q$2:$Q$976,'2024_2026'!$B$2:$B$976,"S",'2024_2026'!$F$2:$F$976,0))/(AVERAGEIFS('2024_2026'!$Q$2:$Q$976,'2024_2026'!$B$2:$B$976,"S",'2024_2026'!$F$2:$F$976,0)-$C15))),"")</f>
        <v>0</v>
      </c>
      <c r="T15" s="306">
        <f>IFERROR(MAX(0,MIN(1,(AVERAGEIFS('2024_2026'!$Q$2:$Q$976,'2024_2026'!$B$2:$B$976,"S",'2024_2026'!$F$2:$F$976,0)-AVERAGEIFS('2024_2026'!$Q$2:$Q$976,'2024_2026'!$B$2:$B$976,"S",'2024_2026'!$F$2:$F$976,4))/(AVERAGEIFS('2024_2026'!$Q$2:$Q$976,'2024_2026'!$B$2:$B$976,"S",'2024_2026'!$F$2:$F$976,0)-$C15))),"")</f>
        <v>5.9970936731500113E-2</v>
      </c>
      <c r="U15" s="306">
        <f>IFERROR(MAX(0,MIN(1,(AVERAGEIFS('2024_2026'!$Q$2:$Q$976,'2024_2026'!$B$2:$B$976,"S",'2024_2026'!$F$2:$F$976,0)-AVERAGEIFS('2024_2026'!$Q$2:$Q$976,'2024_2026'!$B$2:$B$976,"S",'2024_2026'!$F$2:$F$976,8))/(AVERAGEIFS('2024_2026'!$Q$2:$Q$976,'2024_2026'!$B$2:$B$976,"S",'2024_2026'!$F$2:$F$976,0)-$C15))),"")</f>
        <v>0.12284820031298861</v>
      </c>
      <c r="V15" s="306">
        <f>IFERROR(MAX(0,MIN(1,(AVERAGEIFS('2024_2026'!$Q$2:$Q$976,'2024_2026'!$B$2:$B$976,"S",'2024_2026'!$F$2:$F$976,0)-AVERAGEIFS('2024_2026'!$Q$2:$Q$976,'2024_2026'!$B$2:$B$976,"S",'2024_2026'!$F$2:$F$976,12))/(AVERAGEIFS('2024_2026'!$Q$2:$Q$976,'2024_2026'!$B$2:$B$976,"S",'2024_2026'!$F$2:$F$976,0)-$C15))),"")</f>
        <v>0.18192488262910816</v>
      </c>
      <c r="W15" s="306">
        <f>IFERROR(MAX(0,MIN(1,(AVERAGEIFS('2024_2026'!$Q$2:$Q$976,'2024_2026'!$B$2:$B$976,"S",'2024_2026'!$F$2:$F$976,0)-AVERAGEIFS('2024_2026'!$Q$2:$Q$976,'2024_2026'!$B$2:$B$976,"S",'2024_2026'!$F$2:$F$976,21))/(AVERAGEIFS('2024_2026'!$Q$2:$Q$976,'2024_2026'!$B$2:$B$976,"S",'2024_2026'!$F$2:$F$976,0)-$C15))),"")</f>
        <v>0.3072881734853562</v>
      </c>
    </row>
    <row r="16" spans="1:23" ht="16.5" customHeight="1" x14ac:dyDescent="0.25">
      <c r="A16" s="274" t="s">
        <v>205</v>
      </c>
      <c r="B16" s="72" t="s">
        <v>5024</v>
      </c>
      <c r="C16" s="305">
        <v>70</v>
      </c>
      <c r="D16" s="306">
        <f>IFERROR(MAX(0,MIN(1,(AVERAGEIFS('2024_2026'!$R$2:$R$976,'2024_2026'!$B$2:$B$976,"L1",'2024_2026'!$F$2:$F$976,0)-AVERAGEIFS('2024_2026'!$R$2:$R$976,'2024_2026'!$B$2:$B$976,"L1",'2024_2026'!$F$2:$F$976,0))/($C16-AVERAGEIFS('2024_2026'!$R$2:$R$976,'2024_2026'!$B$2:$B$976,"L1",'2024_2026'!$F$2:$F$976,0)))),"")</f>
        <v>0</v>
      </c>
      <c r="E16" s="306">
        <f>IFERROR(MAX(0,MIN(1,(AVERAGEIFS('2024_2026'!$R$2:$R$976,'2024_2026'!$B$2:$B$976,"L1",'2024_2026'!$F$2:$F$976,4)-AVERAGEIFS('2024_2026'!$R$2:$R$976,'2024_2026'!$B$2:$B$976,"L1",'2024_2026'!$F$2:$F$976,0))/($C16-AVERAGEIFS('2024_2026'!$R$2:$R$976,'2024_2026'!$B$2:$B$976,"L1",'2024_2026'!$F$2:$F$976,0)))),"")</f>
        <v>9.0749137172633165E-2</v>
      </c>
      <c r="F16" s="306">
        <f>IFERROR(MAX(0,MIN(1,(AVERAGEIFS('2024_2026'!$R$2:$R$976,'2024_2026'!$B$2:$B$976,"L1",'2024_2026'!$F$2:$F$976,8)-AVERAGEIFS('2024_2026'!$R$2:$R$976,'2024_2026'!$B$2:$B$976,"L1",'2024_2026'!$F$2:$F$976,0))/($C16-AVERAGEIFS('2024_2026'!$R$2:$R$976,'2024_2026'!$B$2:$B$976,"L1",'2024_2026'!$F$2:$F$976,0)))),"")</f>
        <v>0.16383569060025752</v>
      </c>
      <c r="G16" s="306">
        <f>IFERROR(MAX(0,MIN(1,(AVERAGEIFS('2024_2026'!$R$2:$R$976,'2024_2026'!$B$2:$B$976,"L1",'2024_2026'!$F$2:$F$976,12)-AVERAGEIFS('2024_2026'!$R$2:$R$976,'2024_2026'!$B$2:$B$976,"L1",'2024_2026'!$F$2:$F$976,0))/($C16-AVERAGEIFS('2024_2026'!$R$2:$R$976,'2024_2026'!$B$2:$B$976,"L1",'2024_2026'!$F$2:$F$976,0)))),"")</f>
        <v>0.23577180753874294</v>
      </c>
      <c r="H16" s="306">
        <f>IFERROR(MAX(0,MIN(1,(AVERAGEIFS('2024_2026'!$R$2:$R$976,'2024_2026'!$B$2:$B$976,"L1",'2024_2026'!$F$2:$F$976,21)-AVERAGEIFS('2024_2026'!$R$2:$R$976,'2024_2026'!$B$2:$B$976,"L1",'2024_2026'!$F$2:$F$976,0))/($C16-AVERAGEIFS('2024_2026'!$R$2:$R$976,'2024_2026'!$B$2:$B$976,"L1",'2024_2026'!$F$2:$F$976,0)))),"")</f>
        <v>0.41138255396900564</v>
      </c>
      <c r="I16" s="306">
        <f>IFERROR(MAX(0,MIN(1,(AVERAGEIFS('2024_2026'!$R$2:$R$976,'2024_2026'!$B$2:$B$976,"L2",'2024_2026'!$F$2:$F$976,0)-AVERAGEIFS('2024_2026'!$R$2:$R$976,'2024_2026'!$B$2:$B$976,"L2",'2024_2026'!$F$2:$F$976,0))/($C16-AVERAGEIFS('2024_2026'!$R$2:$R$976,'2024_2026'!$B$2:$B$976,"L2",'2024_2026'!$F$2:$F$976,0)))),"")</f>
        <v>0</v>
      </c>
      <c r="J16" s="306">
        <f>IFERROR(MAX(0,MIN(1,(AVERAGEIFS('2024_2026'!$R$2:$R$976,'2024_2026'!$B$2:$B$976,"L2",'2024_2026'!$F$2:$F$976,4)-AVERAGEIFS('2024_2026'!$R$2:$R$976,'2024_2026'!$B$2:$B$976,"L2",'2024_2026'!$F$2:$F$976,0))/($C16-AVERAGEIFS('2024_2026'!$R$2:$R$976,'2024_2026'!$B$2:$B$976,"L2",'2024_2026'!$F$2:$F$976,0)))),"")</f>
        <v>0.12096774193548403</v>
      </c>
      <c r="K16" s="306">
        <f>IFERROR(MAX(0,MIN(1,(AVERAGEIFS('2024_2026'!$R$2:$R$976,'2024_2026'!$B$2:$B$976,"L2",'2024_2026'!$F$2:$F$976,8)-AVERAGEIFS('2024_2026'!$R$2:$R$976,'2024_2026'!$B$2:$B$976,"L2",'2024_2026'!$F$2:$F$976,0))/($C16-AVERAGEIFS('2024_2026'!$R$2:$R$976,'2024_2026'!$B$2:$B$976,"L2",'2024_2026'!$F$2:$F$976,0)))),"")</f>
        <v>0.25806451612903225</v>
      </c>
      <c r="L16" s="306">
        <f>IFERROR(MAX(0,MIN(1,(AVERAGEIFS('2024_2026'!$R$2:$R$976,'2024_2026'!$B$2:$B$976,"L2",'2024_2026'!$F$2:$F$976,12)-AVERAGEIFS('2024_2026'!$R$2:$R$976,'2024_2026'!$B$2:$B$976,"L2",'2024_2026'!$F$2:$F$976,0))/($C16-AVERAGEIFS('2024_2026'!$R$2:$R$976,'2024_2026'!$B$2:$B$976,"L2",'2024_2026'!$F$2:$F$976,0)))),"")</f>
        <v>0.37403100775193843</v>
      </c>
      <c r="M16" s="306">
        <f>IFERROR(MAX(0,MIN(1,(AVERAGEIFS('2024_2026'!$R$2:$R$976,'2024_2026'!$B$2:$B$976,"L2",'2024_2026'!$F$2:$F$976,21)-AVERAGEIFS('2024_2026'!$R$2:$R$976,'2024_2026'!$B$2:$B$976,"L2",'2024_2026'!$F$2:$F$976,0))/($C16-AVERAGEIFS('2024_2026'!$R$2:$R$976,'2024_2026'!$B$2:$B$976,"L2",'2024_2026'!$F$2:$F$976,0)))),"")</f>
        <v>0.6424106026506623</v>
      </c>
      <c r="N16" s="306">
        <f>IFERROR(MAX(0,MIN(1,(AVERAGEIFS('2024_2026'!$R$2:$R$976,'2024_2026'!$B$2:$B$976,"L3",'2024_2026'!$F$2:$F$976,0)-AVERAGEIFS('2024_2026'!$R$2:$R$976,'2024_2026'!$B$2:$B$976,"L3",'2024_2026'!$F$2:$F$976,0))/($C16-AVERAGEIFS('2024_2026'!$R$2:$R$976,'2024_2026'!$B$2:$B$976,"L3",'2024_2026'!$F$2:$F$976,0)))),"")</f>
        <v>0</v>
      </c>
      <c r="O16" s="306">
        <f>IFERROR(MAX(0,MIN(1,(AVERAGEIFS('2024_2026'!$R$2:$R$976,'2024_2026'!$B$2:$B$976,"L3",'2024_2026'!$F$2:$F$976,4)-AVERAGEIFS('2024_2026'!$R$2:$R$976,'2024_2026'!$B$2:$B$976,"L3",'2024_2026'!$F$2:$F$976,0))/($C16-AVERAGEIFS('2024_2026'!$R$2:$R$976,'2024_2026'!$B$2:$B$976,"L3",'2024_2026'!$F$2:$F$976,0)))),"")</f>
        <v>0.1204323211528561</v>
      </c>
      <c r="P16" s="306">
        <f>IFERROR(MAX(0,MIN(1,(AVERAGEIFS('2024_2026'!$R$2:$R$976,'2024_2026'!$B$2:$B$976,"L3",'2024_2026'!$F$2:$F$976,8)-AVERAGEIFS('2024_2026'!$R$2:$R$976,'2024_2026'!$B$2:$B$976,"L3",'2024_2026'!$F$2:$F$976,0))/($C16-AVERAGEIFS('2024_2026'!$R$2:$R$976,'2024_2026'!$B$2:$B$976,"L3",'2024_2026'!$F$2:$F$976,0)))),"")</f>
        <v>0.25549591941768968</v>
      </c>
      <c r="Q16" s="306">
        <f>IFERROR(MAX(0,MIN(1,(AVERAGEIFS('2024_2026'!$R$2:$R$976,'2024_2026'!$B$2:$B$976,"L3",'2024_2026'!$F$2:$F$976,12)-AVERAGEIFS('2024_2026'!$R$2:$R$976,'2024_2026'!$B$2:$B$976,"L3",'2024_2026'!$F$2:$F$976,0))/($C16-AVERAGEIFS('2024_2026'!$R$2:$R$976,'2024_2026'!$B$2:$B$976,"L3",'2024_2026'!$F$2:$F$976,0)))),"")</f>
        <v>0.38453054922432173</v>
      </c>
      <c r="R16" s="306">
        <f>IFERROR(MAX(0,MIN(1,(AVERAGEIFS('2024_2026'!$R$2:$R$976,'2024_2026'!$B$2:$B$976,"L3",'2024_2026'!$F$2:$F$976,21)-AVERAGEIFS('2024_2026'!$R$2:$R$976,'2024_2026'!$B$2:$B$976,"L3",'2024_2026'!$F$2:$F$976,0))/($C16-AVERAGEIFS('2024_2026'!$R$2:$R$976,'2024_2026'!$B$2:$B$976,"L3",'2024_2026'!$F$2:$F$976,0)))),"")</f>
        <v>0.67392103521799829</v>
      </c>
      <c r="S16" s="306">
        <f>IFERROR(MAX(0,MIN(1,(AVERAGEIFS('2024_2026'!$R$2:$R$976,'2024_2026'!$B$2:$B$976,"S",'2024_2026'!$F$2:$F$976,0)-AVERAGEIFS('2024_2026'!$R$2:$R$976,'2024_2026'!$B$2:$B$976,"S",'2024_2026'!$F$2:$F$976,0))/($C16-AVERAGEIFS('2024_2026'!$R$2:$R$976,'2024_2026'!$B$2:$B$976,"S",'2024_2026'!$F$2:$F$976,0)))),"")</f>
        <v>0</v>
      </c>
      <c r="T16" s="306">
        <f>IFERROR(MAX(0,MIN(1,(AVERAGEIFS('2024_2026'!$R$2:$R$976,'2024_2026'!$B$2:$B$976,"S",'2024_2026'!$F$2:$F$976,4)-AVERAGEIFS('2024_2026'!$R$2:$R$976,'2024_2026'!$B$2:$B$976,"S",'2024_2026'!$F$2:$F$976,0))/($C16-AVERAGEIFS('2024_2026'!$R$2:$R$976,'2024_2026'!$B$2:$B$976,"S",'2024_2026'!$F$2:$F$976,0)))),"")</f>
        <v>6.4392160211793725E-2</v>
      </c>
      <c r="U16" s="306">
        <f>IFERROR(MAX(0,MIN(1,(AVERAGEIFS('2024_2026'!$R$2:$R$976,'2024_2026'!$B$2:$B$976,"S",'2024_2026'!$F$2:$F$976,8)-AVERAGEIFS('2024_2026'!$R$2:$R$976,'2024_2026'!$B$2:$B$976,"S",'2024_2026'!$F$2:$F$976,0))/($C16-AVERAGEIFS('2024_2026'!$R$2:$R$976,'2024_2026'!$B$2:$B$976,"S",'2024_2026'!$F$2:$F$976,0)))),"")</f>
        <v>0.12588069516204789</v>
      </c>
      <c r="V16" s="306">
        <f>IFERROR(MAX(0,MIN(1,(AVERAGEIFS('2024_2026'!$R$2:$R$976,'2024_2026'!$B$2:$B$976,"S",'2024_2026'!$F$2:$F$976,12)-AVERAGEIFS('2024_2026'!$R$2:$R$976,'2024_2026'!$B$2:$B$976,"S",'2024_2026'!$F$2:$F$976,0))/($C16-AVERAGEIFS('2024_2026'!$R$2:$R$976,'2024_2026'!$B$2:$B$976,"S",'2024_2026'!$F$2:$F$976,0)))),"")</f>
        <v>0.18549041376659972</v>
      </c>
      <c r="W16" s="306">
        <f>IFERROR(MAX(0,MIN(1,(AVERAGEIFS('2024_2026'!$R$2:$R$976,'2024_2026'!$B$2:$B$976,"S",'2024_2026'!$F$2:$F$976,21)-AVERAGEIFS('2024_2026'!$R$2:$R$976,'2024_2026'!$B$2:$B$976,"S",'2024_2026'!$F$2:$F$976,0))/($C16-AVERAGEIFS('2024_2026'!$R$2:$R$976,'2024_2026'!$B$2:$B$976,"S",'2024_2026'!$F$2:$F$976,0)))),"")</f>
        <v>0.30594816174900724</v>
      </c>
    </row>
    <row r="17" spans="1:23" ht="16.5" customHeight="1" x14ac:dyDescent="0.25">
      <c r="A17" s="274" t="s">
        <v>188</v>
      </c>
      <c r="B17" s="72" t="s">
        <v>5024</v>
      </c>
      <c r="C17" s="305">
        <v>45</v>
      </c>
      <c r="D17" s="306">
        <f>IFERROR(MAX(0,MIN(1,(AVERAGEIFS('2024_2026'!$S$2:$S$976,'2024_2026'!$B$2:$B$976,"L1",'2024_2026'!$F$2:$F$976,0)-AVERAGEIFS('2024_2026'!$S$2:$S$976,'2024_2026'!$B$2:$B$976,"L1",'2024_2026'!$F$2:$F$976,0))/($C17-AVERAGEIFS('2024_2026'!$S$2:$S$976,'2024_2026'!$B$2:$B$976,"L1",'2024_2026'!$F$2:$F$976,0)))),"")</f>
        <v>0</v>
      </c>
      <c r="E17" s="306">
        <f>IFERROR(MAX(0,MIN(1,(AVERAGEIFS('2024_2026'!$S$2:$S$976,'2024_2026'!$B$2:$B$976,"L1",'2024_2026'!$F$2:$F$976,4)-AVERAGEIFS('2024_2026'!$S$2:$S$976,'2024_2026'!$B$2:$B$976,"L1",'2024_2026'!$F$2:$F$976,0))/($C17-AVERAGEIFS('2024_2026'!$S$2:$S$976,'2024_2026'!$B$2:$B$976,"L1",'2024_2026'!$F$2:$F$976,0)))),"")</f>
        <v>6.7425006880102598E-2</v>
      </c>
      <c r="F17" s="306">
        <f>IFERROR(MAX(0,MIN(1,(AVERAGEIFS('2024_2026'!$S$2:$S$976,'2024_2026'!$B$2:$B$976,"L1",'2024_2026'!$F$2:$F$976,8)-AVERAGEIFS('2024_2026'!$S$2:$S$976,'2024_2026'!$B$2:$B$976,"L1",'2024_2026'!$F$2:$F$976,0))/($C17-AVERAGEIFS('2024_2026'!$S$2:$S$976,'2024_2026'!$B$2:$B$976,"L1",'2024_2026'!$F$2:$F$976,0)))),"")</f>
        <v>0.13512521786992016</v>
      </c>
      <c r="G17" s="306">
        <f>IFERROR(MAX(0,MIN(1,(AVERAGEIFS('2024_2026'!$S$2:$S$976,'2024_2026'!$B$2:$B$976,"L1",'2024_2026'!$F$2:$F$976,12)-AVERAGEIFS('2024_2026'!$S$2:$S$976,'2024_2026'!$B$2:$B$976,"L1",'2024_2026'!$F$2:$F$976,0))/($C17-AVERAGEIFS('2024_2026'!$S$2:$S$976,'2024_2026'!$B$2:$B$976,"L1",'2024_2026'!$F$2:$F$976,0)))),"")</f>
        <v>0.20621961287955215</v>
      </c>
      <c r="H17" s="306">
        <f>IFERROR(MAX(0,MIN(1,(AVERAGEIFS('2024_2026'!$S$2:$S$976,'2024_2026'!$B$2:$B$976,"L1",'2024_2026'!$F$2:$F$976,21)-AVERAGEIFS('2024_2026'!$S$2:$S$976,'2024_2026'!$B$2:$B$976,"L1",'2024_2026'!$F$2:$F$976,0))/($C17-AVERAGEIFS('2024_2026'!$S$2:$S$976,'2024_2026'!$B$2:$B$976,"L1",'2024_2026'!$F$2:$F$976,0)))),"")</f>
        <v>0.35042656637005792</v>
      </c>
      <c r="I17" s="306">
        <f>IFERROR(MAX(0,MIN(1,(AVERAGEIFS('2024_2026'!$S$2:$S$976,'2024_2026'!$B$2:$B$976,"L2",'2024_2026'!$F$2:$F$976,0)-AVERAGEIFS('2024_2026'!$S$2:$S$976,'2024_2026'!$B$2:$B$976,"L2",'2024_2026'!$F$2:$F$976,0))/($C17-AVERAGEIFS('2024_2026'!$S$2:$S$976,'2024_2026'!$B$2:$B$976,"L2",'2024_2026'!$F$2:$F$976,0)))),"")</f>
        <v>0</v>
      </c>
      <c r="J17" s="306">
        <f>IFERROR(MAX(0,MIN(1,(AVERAGEIFS('2024_2026'!$S$2:$S$976,'2024_2026'!$B$2:$B$976,"L2",'2024_2026'!$F$2:$F$976,4)-AVERAGEIFS('2024_2026'!$S$2:$S$976,'2024_2026'!$B$2:$B$976,"L2",'2024_2026'!$F$2:$F$976,0))/($C17-AVERAGEIFS('2024_2026'!$S$2:$S$976,'2024_2026'!$B$2:$B$976,"L2",'2024_2026'!$F$2:$F$976,0)))),"")</f>
        <v>0.1019896473633128</v>
      </c>
      <c r="K17" s="306">
        <f>IFERROR(MAX(0,MIN(1,(AVERAGEIFS('2024_2026'!$S$2:$S$976,'2024_2026'!$B$2:$B$976,"L2",'2024_2026'!$F$2:$F$976,8)-AVERAGEIFS('2024_2026'!$S$2:$S$976,'2024_2026'!$B$2:$B$976,"L2",'2024_2026'!$F$2:$F$976,0))/($C17-AVERAGEIFS('2024_2026'!$S$2:$S$976,'2024_2026'!$B$2:$B$976,"L2",'2024_2026'!$F$2:$F$976,0)))),"")</f>
        <v>0.21910384988676782</v>
      </c>
      <c r="L17" s="306">
        <f>IFERROR(MAX(0,MIN(1,(AVERAGEIFS('2024_2026'!$S$2:$S$976,'2024_2026'!$B$2:$B$976,"L2",'2024_2026'!$F$2:$F$976,12)-AVERAGEIFS('2024_2026'!$S$2:$S$976,'2024_2026'!$B$2:$B$976,"L2",'2024_2026'!$F$2:$F$976,0))/($C17-AVERAGEIFS('2024_2026'!$S$2:$S$976,'2024_2026'!$B$2:$B$976,"L2",'2024_2026'!$F$2:$F$976,0)))),"")</f>
        <v>0.31785829828534445</v>
      </c>
      <c r="M17" s="306">
        <f>IFERROR(MAX(0,MIN(1,(AVERAGEIFS('2024_2026'!$S$2:$S$976,'2024_2026'!$B$2:$B$976,"L2",'2024_2026'!$F$2:$F$976,21)-AVERAGEIFS('2024_2026'!$S$2:$S$976,'2024_2026'!$B$2:$B$976,"L2",'2024_2026'!$F$2:$F$976,0))/($C17-AVERAGEIFS('2024_2026'!$S$2:$S$976,'2024_2026'!$B$2:$B$976,"L2",'2024_2026'!$F$2:$F$976,0)))),"")</f>
        <v>0.57295373665480442</v>
      </c>
      <c r="N17" s="306">
        <f>IFERROR(MAX(0,MIN(1,(AVERAGEIFS('2024_2026'!$S$2:$S$976,'2024_2026'!$B$2:$B$976,"L3",'2024_2026'!$F$2:$F$976,0)-AVERAGEIFS('2024_2026'!$S$2:$S$976,'2024_2026'!$B$2:$B$976,"L3",'2024_2026'!$F$2:$F$976,0))/($C17-AVERAGEIFS('2024_2026'!$S$2:$S$976,'2024_2026'!$B$2:$B$976,"L3",'2024_2026'!$F$2:$F$976,0)))),"")</f>
        <v>0</v>
      </c>
      <c r="O17" s="306">
        <f>IFERROR(MAX(0,MIN(1,(AVERAGEIFS('2024_2026'!$S$2:$S$976,'2024_2026'!$B$2:$B$976,"L3",'2024_2026'!$F$2:$F$976,4)-AVERAGEIFS('2024_2026'!$S$2:$S$976,'2024_2026'!$B$2:$B$976,"L3",'2024_2026'!$F$2:$F$976,0))/($C17-AVERAGEIFS('2024_2026'!$S$2:$S$976,'2024_2026'!$B$2:$B$976,"L3",'2024_2026'!$F$2:$F$976,0)))),"")</f>
        <v>0.12684195319271926</v>
      </c>
      <c r="P17" s="306">
        <f>IFERROR(MAX(0,MIN(1,(AVERAGEIFS('2024_2026'!$S$2:$S$976,'2024_2026'!$B$2:$B$976,"L3",'2024_2026'!$F$2:$F$976,8)-AVERAGEIFS('2024_2026'!$S$2:$S$976,'2024_2026'!$B$2:$B$976,"L3",'2024_2026'!$F$2:$F$976,0))/($C17-AVERAGEIFS('2024_2026'!$S$2:$S$976,'2024_2026'!$B$2:$B$976,"L3",'2024_2026'!$F$2:$F$976,0)))),"")</f>
        <v>0.2365404988924206</v>
      </c>
      <c r="Q17" s="306">
        <f>IFERROR(MAX(0,MIN(1,(AVERAGEIFS('2024_2026'!$S$2:$S$976,'2024_2026'!$B$2:$B$976,"L3",'2024_2026'!$F$2:$F$976,12)-AVERAGEIFS('2024_2026'!$S$2:$S$976,'2024_2026'!$B$2:$B$976,"L3",'2024_2026'!$F$2:$F$976,0))/($C17-AVERAGEIFS('2024_2026'!$S$2:$S$976,'2024_2026'!$B$2:$B$976,"L3",'2024_2026'!$F$2:$F$976,0)))),"")</f>
        <v>0.32601367620148336</v>
      </c>
      <c r="R17" s="306">
        <f>IFERROR(MAX(0,MIN(1,(AVERAGEIFS('2024_2026'!$S$2:$S$976,'2024_2026'!$B$2:$B$976,"L3",'2024_2026'!$F$2:$F$976,21)-AVERAGEIFS('2024_2026'!$S$2:$S$976,'2024_2026'!$B$2:$B$976,"L3",'2024_2026'!$F$2:$F$976,0))/($C17-AVERAGEIFS('2024_2026'!$S$2:$S$976,'2024_2026'!$B$2:$B$976,"L3",'2024_2026'!$F$2:$F$976,0)))),"")</f>
        <v>0.61234710584609453</v>
      </c>
      <c r="S17" s="306">
        <f>IFERROR(MAX(0,MIN(1,(AVERAGEIFS('2024_2026'!$S$2:$S$976,'2024_2026'!$B$2:$B$976,"S",'2024_2026'!$F$2:$F$976,0)-AVERAGEIFS('2024_2026'!$S$2:$S$976,'2024_2026'!$B$2:$B$976,"S",'2024_2026'!$F$2:$F$976,0))/($C17-AVERAGEIFS('2024_2026'!$S$2:$S$976,'2024_2026'!$B$2:$B$976,"S",'2024_2026'!$F$2:$F$976,0)))),"")</f>
        <v>0</v>
      </c>
      <c r="T17" s="306">
        <f>IFERROR(MAX(0,MIN(1,(AVERAGEIFS('2024_2026'!$S$2:$S$976,'2024_2026'!$B$2:$B$976,"S",'2024_2026'!$F$2:$F$976,4)-AVERAGEIFS('2024_2026'!$S$2:$S$976,'2024_2026'!$B$2:$B$976,"S",'2024_2026'!$F$2:$F$976,0))/($C17-AVERAGEIFS('2024_2026'!$S$2:$S$976,'2024_2026'!$B$2:$B$976,"S",'2024_2026'!$F$2:$F$976,0)))),"")</f>
        <v>5.2216291482943177E-2</v>
      </c>
      <c r="U17" s="306">
        <f>IFERROR(MAX(0,MIN(1,(AVERAGEIFS('2024_2026'!$S$2:$S$976,'2024_2026'!$B$2:$B$976,"S",'2024_2026'!$F$2:$F$976,8)-AVERAGEIFS('2024_2026'!$S$2:$S$976,'2024_2026'!$B$2:$B$976,"S",'2024_2026'!$F$2:$F$976,0))/($C17-AVERAGEIFS('2024_2026'!$S$2:$S$976,'2024_2026'!$B$2:$B$976,"S",'2024_2026'!$F$2:$F$976,0)))),"")</f>
        <v>0.10373636574611331</v>
      </c>
      <c r="V17" s="306">
        <f>IFERROR(MAX(0,MIN(1,(AVERAGEIFS('2024_2026'!$S$2:$S$976,'2024_2026'!$B$2:$B$976,"S",'2024_2026'!$F$2:$F$976,12)-AVERAGEIFS('2024_2026'!$S$2:$S$976,'2024_2026'!$B$2:$B$976,"S",'2024_2026'!$F$2:$F$976,0))/($C17-AVERAGEIFS('2024_2026'!$S$2:$S$976,'2024_2026'!$B$2:$B$976,"S",'2024_2026'!$F$2:$F$976,0)))),"")</f>
        <v>0.17266187050359699</v>
      </c>
      <c r="W17" s="306">
        <f>IFERROR(MAX(0,MIN(1,(AVERAGEIFS('2024_2026'!$S$2:$S$976,'2024_2026'!$B$2:$B$976,"S",'2024_2026'!$F$2:$F$976,21)-AVERAGEIFS('2024_2026'!$S$2:$S$976,'2024_2026'!$B$2:$B$976,"S",'2024_2026'!$F$2:$F$976,0))/($C17-AVERAGEIFS('2024_2026'!$S$2:$S$976,'2024_2026'!$B$2:$B$976,"S",'2024_2026'!$F$2:$F$976,0)))),"")</f>
        <v>0.28307031793919735</v>
      </c>
    </row>
    <row r="18" spans="1:23" ht="16.5" customHeight="1" x14ac:dyDescent="0.25">
      <c r="A18" s="274" t="s">
        <v>189</v>
      </c>
      <c r="B18" s="72" t="s">
        <v>5024</v>
      </c>
      <c r="C18" s="305">
        <v>80</v>
      </c>
      <c r="D18" s="306">
        <f>IFERROR(MAX(0,MIN(1,(AVERAGEIFS('2024_2026'!$T$2:$T$976,'2024_2026'!$B$2:$B$976,"L1",'2024_2026'!$F$2:$F$976,0)-AVERAGEIFS('2024_2026'!$T$2:$T$976,'2024_2026'!$B$2:$B$976,"L1",'2024_2026'!$F$2:$F$976,0))/($C18-AVERAGEIFS('2024_2026'!$T$2:$T$976,'2024_2026'!$B$2:$B$976,"L1",'2024_2026'!$F$2:$F$976,0)))),"")</f>
        <v>0</v>
      </c>
      <c r="E18" s="306">
        <f>IFERROR(MAX(0,MIN(1,(AVERAGEIFS('2024_2026'!$T$2:$T$976,'2024_2026'!$B$2:$B$976,"L1",'2024_2026'!$F$2:$F$976,4)-AVERAGEIFS('2024_2026'!$T$2:$T$976,'2024_2026'!$B$2:$B$976,"L1",'2024_2026'!$F$2:$F$976,0))/($C18-AVERAGEIFS('2024_2026'!$T$2:$T$976,'2024_2026'!$B$2:$B$976,"L1",'2024_2026'!$F$2:$F$976,0)))),"")</f>
        <v>7.3213248111563045E-2</v>
      </c>
      <c r="F18" s="306">
        <f>IFERROR(MAX(0,MIN(1,(AVERAGEIFS('2024_2026'!$T$2:$T$976,'2024_2026'!$B$2:$B$976,"L1",'2024_2026'!$F$2:$F$976,8)-AVERAGEIFS('2024_2026'!$T$2:$T$976,'2024_2026'!$B$2:$B$976,"L1",'2024_2026'!$F$2:$F$976,0))/($C18-AVERAGEIFS('2024_2026'!$T$2:$T$976,'2024_2026'!$B$2:$B$976,"L1",'2024_2026'!$F$2:$F$976,0)))),"")</f>
        <v>0.13364323067983727</v>
      </c>
      <c r="G18" s="306">
        <f>IFERROR(MAX(0,MIN(1,(AVERAGEIFS('2024_2026'!$T$2:$T$976,'2024_2026'!$B$2:$B$976,"L1",'2024_2026'!$F$2:$F$976,12)-AVERAGEIFS('2024_2026'!$T$2:$T$976,'2024_2026'!$B$2:$B$976,"L1",'2024_2026'!$F$2:$F$976,0))/($C18-AVERAGEIFS('2024_2026'!$T$2:$T$976,'2024_2026'!$B$2:$B$976,"L1",'2024_2026'!$F$2:$F$976,0)))),"")</f>
        <v>0.1865194654270772</v>
      </c>
      <c r="H18" s="306">
        <f>IFERROR(MAX(0,MIN(1,(AVERAGEIFS('2024_2026'!$T$2:$T$976,'2024_2026'!$B$2:$B$976,"L1",'2024_2026'!$F$2:$F$976,21)-AVERAGEIFS('2024_2026'!$T$2:$T$976,'2024_2026'!$B$2:$B$976,"L1",'2024_2026'!$F$2:$F$976,0))/($C18-AVERAGEIFS('2024_2026'!$T$2:$T$976,'2024_2026'!$B$2:$B$976,"L1",'2024_2026'!$F$2:$F$976,0)))),"")</f>
        <v>0.37245787332945957</v>
      </c>
      <c r="I18" s="306">
        <f>IFERROR(MAX(0,MIN(1,(AVERAGEIFS('2024_2026'!$T$2:$T$976,'2024_2026'!$B$2:$B$976,"L2",'2024_2026'!$F$2:$F$976,0)-AVERAGEIFS('2024_2026'!$T$2:$T$976,'2024_2026'!$B$2:$B$976,"L2",'2024_2026'!$F$2:$F$976,0))/($C18-AVERAGEIFS('2024_2026'!$T$2:$T$976,'2024_2026'!$B$2:$B$976,"L2",'2024_2026'!$F$2:$F$976,0)))),"")</f>
        <v>0</v>
      </c>
      <c r="J18" s="306">
        <f>IFERROR(MAX(0,MIN(1,(AVERAGEIFS('2024_2026'!$T$2:$T$976,'2024_2026'!$B$2:$B$976,"L2",'2024_2026'!$F$2:$F$976,4)-AVERAGEIFS('2024_2026'!$T$2:$T$976,'2024_2026'!$B$2:$B$976,"L2",'2024_2026'!$F$2:$F$976,0))/($C18-AVERAGEIFS('2024_2026'!$T$2:$T$976,'2024_2026'!$B$2:$B$976,"L2",'2024_2026'!$F$2:$F$976,0)))),"")</f>
        <v>9.6741854636591434E-2</v>
      </c>
      <c r="K18" s="306">
        <f>IFERROR(MAX(0,MIN(1,(AVERAGEIFS('2024_2026'!$T$2:$T$976,'2024_2026'!$B$2:$B$976,"L2",'2024_2026'!$F$2:$F$976,8)-AVERAGEIFS('2024_2026'!$T$2:$T$976,'2024_2026'!$B$2:$B$976,"L2",'2024_2026'!$F$2:$F$976,0))/($C18-AVERAGEIFS('2024_2026'!$T$2:$T$976,'2024_2026'!$B$2:$B$976,"L2",'2024_2026'!$F$2:$F$976,0)))),"")</f>
        <v>0.20852130325814541</v>
      </c>
      <c r="L18" s="306">
        <f>IFERROR(MAX(0,MIN(1,(AVERAGEIFS('2024_2026'!$T$2:$T$976,'2024_2026'!$B$2:$B$976,"L2",'2024_2026'!$F$2:$F$976,12)-AVERAGEIFS('2024_2026'!$T$2:$T$976,'2024_2026'!$B$2:$B$976,"L2",'2024_2026'!$F$2:$F$976,0))/($C18-AVERAGEIFS('2024_2026'!$T$2:$T$976,'2024_2026'!$B$2:$B$976,"L2",'2024_2026'!$F$2:$F$976,0)))),"")</f>
        <v>0.30977443609022554</v>
      </c>
      <c r="M18" s="306">
        <f>IFERROR(MAX(0,MIN(1,(AVERAGEIFS('2024_2026'!$T$2:$T$976,'2024_2026'!$B$2:$B$976,"L2",'2024_2026'!$F$2:$F$976,21)-AVERAGEIFS('2024_2026'!$T$2:$T$976,'2024_2026'!$B$2:$B$976,"L2",'2024_2026'!$F$2:$F$976,0))/($C18-AVERAGEIFS('2024_2026'!$T$2:$T$976,'2024_2026'!$B$2:$B$976,"L2",'2024_2026'!$F$2:$F$976,0)))),"")</f>
        <v>0.56190476190476191</v>
      </c>
      <c r="N18" s="306">
        <f>IFERROR(MAX(0,MIN(1,(AVERAGEIFS('2024_2026'!$T$2:$T$976,'2024_2026'!$B$2:$B$976,"L3",'2024_2026'!$F$2:$F$976,0)-AVERAGEIFS('2024_2026'!$T$2:$T$976,'2024_2026'!$B$2:$B$976,"L3",'2024_2026'!$F$2:$F$976,0))/($C18-AVERAGEIFS('2024_2026'!$T$2:$T$976,'2024_2026'!$B$2:$B$976,"L3",'2024_2026'!$F$2:$F$976,0)))),"")</f>
        <v>0</v>
      </c>
      <c r="O18" s="306">
        <f>IFERROR(MAX(0,MIN(1,(AVERAGEIFS('2024_2026'!$T$2:$T$976,'2024_2026'!$B$2:$B$976,"L3",'2024_2026'!$F$2:$F$976,4)-AVERAGEIFS('2024_2026'!$T$2:$T$976,'2024_2026'!$B$2:$B$976,"L3",'2024_2026'!$F$2:$F$976,0))/($C18-AVERAGEIFS('2024_2026'!$T$2:$T$976,'2024_2026'!$B$2:$B$976,"L3",'2024_2026'!$F$2:$F$976,0)))),"")</f>
        <v>0.1104020421186982</v>
      </c>
      <c r="P18" s="306">
        <f>IFERROR(MAX(0,MIN(1,(AVERAGEIFS('2024_2026'!$T$2:$T$976,'2024_2026'!$B$2:$B$976,"L3",'2024_2026'!$F$2:$F$976,8)-AVERAGEIFS('2024_2026'!$T$2:$T$976,'2024_2026'!$B$2:$B$976,"L3",'2024_2026'!$F$2:$F$976,0))/($C18-AVERAGEIFS('2024_2026'!$T$2:$T$976,'2024_2026'!$B$2:$B$976,"L3",'2024_2026'!$F$2:$F$976,0)))),"")</f>
        <v>0.23165283982131474</v>
      </c>
      <c r="Q18" s="306">
        <f>IFERROR(MAX(0,MIN(1,(AVERAGEIFS('2024_2026'!$T$2:$T$976,'2024_2026'!$B$2:$B$976,"L3",'2024_2026'!$F$2:$F$976,12)-AVERAGEIFS('2024_2026'!$T$2:$T$976,'2024_2026'!$B$2:$B$976,"L3",'2024_2026'!$F$2:$F$976,0))/($C18-AVERAGEIFS('2024_2026'!$T$2:$T$976,'2024_2026'!$B$2:$B$976,"L3",'2024_2026'!$F$2:$F$976,0)))),"")</f>
        <v>0.33375877472878124</v>
      </c>
      <c r="R18" s="306">
        <f>IFERROR(MAX(0,MIN(1,(AVERAGEIFS('2024_2026'!$T$2:$T$976,'2024_2026'!$B$2:$B$976,"L3",'2024_2026'!$F$2:$F$976,21)-AVERAGEIFS('2024_2026'!$T$2:$T$976,'2024_2026'!$B$2:$B$976,"L3",'2024_2026'!$F$2:$F$976,0))/($C18-AVERAGEIFS('2024_2026'!$T$2:$T$976,'2024_2026'!$B$2:$B$976,"L3",'2024_2026'!$F$2:$F$976,0)))),"")</f>
        <v>0.57753669432035748</v>
      </c>
      <c r="S18" s="306">
        <f>IFERROR(MAX(0,MIN(1,(AVERAGEIFS('2024_2026'!$T$2:$T$976,'2024_2026'!$B$2:$B$976,"S",'2024_2026'!$F$2:$F$976,0)-AVERAGEIFS('2024_2026'!$T$2:$T$976,'2024_2026'!$B$2:$B$976,"S",'2024_2026'!$F$2:$F$976,0))/($C18-AVERAGEIFS('2024_2026'!$T$2:$T$976,'2024_2026'!$B$2:$B$976,"S",'2024_2026'!$F$2:$F$976,0)))),"")</f>
        <v>0</v>
      </c>
      <c r="T18" s="306">
        <f>IFERROR(MAX(0,MIN(1,(AVERAGEIFS('2024_2026'!$T$2:$T$976,'2024_2026'!$B$2:$B$976,"S",'2024_2026'!$F$2:$F$976,4)-AVERAGEIFS('2024_2026'!$T$2:$T$976,'2024_2026'!$B$2:$B$976,"S",'2024_2026'!$F$2:$F$976,0))/($C18-AVERAGEIFS('2024_2026'!$T$2:$T$976,'2024_2026'!$B$2:$B$976,"S",'2024_2026'!$F$2:$F$976,0)))),"")</f>
        <v>4.7425474254742583E-2</v>
      </c>
      <c r="U18" s="306">
        <f>IFERROR(MAX(0,MIN(1,(AVERAGEIFS('2024_2026'!$T$2:$T$976,'2024_2026'!$B$2:$B$976,"S",'2024_2026'!$F$2:$F$976,8)-AVERAGEIFS('2024_2026'!$T$2:$T$976,'2024_2026'!$B$2:$B$976,"S",'2024_2026'!$F$2:$F$976,0))/($C18-AVERAGEIFS('2024_2026'!$T$2:$T$976,'2024_2026'!$B$2:$B$976,"S",'2024_2026'!$F$2:$F$976,0)))),"")</f>
        <v>9.7560975609756059E-2</v>
      </c>
      <c r="V18" s="306">
        <f>IFERROR(MAX(0,MIN(1,(AVERAGEIFS('2024_2026'!$T$2:$T$976,'2024_2026'!$B$2:$B$976,"S",'2024_2026'!$F$2:$F$976,12)-AVERAGEIFS('2024_2026'!$T$2:$T$976,'2024_2026'!$B$2:$B$976,"S",'2024_2026'!$F$2:$F$976,0))/($C18-AVERAGEIFS('2024_2026'!$T$2:$T$976,'2024_2026'!$B$2:$B$976,"S",'2024_2026'!$F$2:$F$976,0)))),"")</f>
        <v>0.15481029810298111</v>
      </c>
      <c r="W18" s="306">
        <f>IFERROR(MAX(0,MIN(1,(AVERAGEIFS('2024_2026'!$T$2:$T$976,'2024_2026'!$B$2:$B$976,"S",'2024_2026'!$F$2:$F$976,21)-AVERAGEIFS('2024_2026'!$T$2:$T$976,'2024_2026'!$B$2:$B$976,"S",'2024_2026'!$F$2:$F$976,0))/($C18-AVERAGEIFS('2024_2026'!$T$2:$T$976,'2024_2026'!$B$2:$B$976,"S",'2024_2026'!$F$2:$F$976,0)))),"")</f>
        <v>0.27472899728997285</v>
      </c>
    </row>
    <row r="19" spans="1:23" ht="16.5" customHeight="1" x14ac:dyDescent="0.25">
      <c r="A19" s="274" t="s">
        <v>197</v>
      </c>
      <c r="B19" s="72" t="s">
        <v>313</v>
      </c>
      <c r="C19" s="305">
        <v>3</v>
      </c>
      <c r="D19" s="306">
        <f>IFERROR(MAX(0,MIN(1,(AVERAGEIFS('2024_2026'!$U$2:$U$976,'2024_2026'!$B$2:$B$976,"L1",'2024_2026'!$F$2:$F$976,0)-AVERAGEIFS('2024_2026'!$U$2:$U$976,'2024_2026'!$B$2:$B$976,"L1",'2024_2026'!$F$2:$F$976,0))/(AVERAGEIFS('2024_2026'!$U$2:$U$976,'2024_2026'!$B$2:$B$976,"L1",'2024_2026'!$F$2:$F$976,0)-$C19))),"")</f>
        <v>0</v>
      </c>
      <c r="E19" s="306">
        <f>IFERROR(MAX(0,MIN(1,(AVERAGEIFS('2024_2026'!$U$2:$U$976,'2024_2026'!$B$2:$B$976,"L1",'2024_2026'!$F$2:$F$976,0)-AVERAGEIFS('2024_2026'!$U$2:$U$976,'2024_2026'!$B$2:$B$976,"L1",'2024_2026'!$F$2:$F$976,4))/(AVERAGEIFS('2024_2026'!$U$2:$U$976,'2024_2026'!$B$2:$B$976,"L1",'2024_2026'!$F$2:$F$976,0)-$C19))),"")</f>
        <v>6.6687539135879478E-2</v>
      </c>
      <c r="F19" s="306">
        <f>IFERROR(MAX(0,MIN(1,(AVERAGEIFS('2024_2026'!$U$2:$U$976,'2024_2026'!$B$2:$B$976,"L1",'2024_2026'!$F$2:$F$976,0)-AVERAGEIFS('2024_2026'!$U$2:$U$976,'2024_2026'!$B$2:$B$976,"L1",'2024_2026'!$F$2:$F$976,8))/(AVERAGEIFS('2024_2026'!$U$2:$U$976,'2024_2026'!$B$2:$B$976,"L1",'2024_2026'!$F$2:$F$976,0)-$C19))),"")</f>
        <v>9.3065122103945463E-2</v>
      </c>
      <c r="G19" s="306">
        <f>IFERROR(MAX(0,MIN(1,(AVERAGEIFS('2024_2026'!$U$2:$U$976,'2024_2026'!$B$2:$B$976,"L1",'2024_2026'!$F$2:$F$976,0)-AVERAGEIFS('2024_2026'!$U$2:$U$976,'2024_2026'!$B$2:$B$976,"L1",'2024_2026'!$F$2:$F$976,12))/(AVERAGEIFS('2024_2026'!$U$2:$U$976,'2024_2026'!$B$2:$B$976,"L1",'2024_2026'!$F$2:$F$976,0)-$C19))),"")</f>
        <v>0.18307764558547257</v>
      </c>
      <c r="H19" s="306">
        <f>IFERROR(MAX(0,MIN(1,(AVERAGEIFS('2024_2026'!$U$2:$U$976,'2024_2026'!$B$2:$B$976,"L1",'2024_2026'!$F$2:$F$976,0)-AVERAGEIFS('2024_2026'!$U$2:$U$976,'2024_2026'!$B$2:$B$976,"L1",'2024_2026'!$F$2:$F$976,21))/(AVERAGEIFS('2024_2026'!$U$2:$U$976,'2024_2026'!$B$2:$B$976,"L1",'2024_2026'!$F$2:$F$976,0)-$C19))),"")</f>
        <v>0.28612241703193497</v>
      </c>
      <c r="I19" s="306">
        <f>IFERROR(MAX(0,MIN(1,(AVERAGEIFS('2024_2026'!$U$2:$U$976,'2024_2026'!$B$2:$B$976,"L2",'2024_2026'!$F$2:$F$976,0)-AVERAGEIFS('2024_2026'!$U$2:$U$976,'2024_2026'!$B$2:$B$976,"L2",'2024_2026'!$F$2:$F$976,0))/(AVERAGEIFS('2024_2026'!$U$2:$U$976,'2024_2026'!$B$2:$B$976,"L2",'2024_2026'!$F$2:$F$976,0)-$C19))),"")</f>
        <v>0</v>
      </c>
      <c r="J19" s="306">
        <f>IFERROR(MAX(0,MIN(1,(AVERAGEIFS('2024_2026'!$U$2:$U$976,'2024_2026'!$B$2:$B$976,"L2",'2024_2026'!$F$2:$F$976,0)-AVERAGEIFS('2024_2026'!$U$2:$U$976,'2024_2026'!$B$2:$B$976,"L2",'2024_2026'!$F$2:$F$976,4))/(AVERAGEIFS('2024_2026'!$U$2:$U$976,'2024_2026'!$B$2:$B$976,"L2",'2024_2026'!$F$2:$F$976,0)-$C19))),"")</f>
        <v>9.0569956157219092E-2</v>
      </c>
      <c r="K19" s="306">
        <f>IFERROR(MAX(0,MIN(1,(AVERAGEIFS('2024_2026'!$U$2:$U$976,'2024_2026'!$B$2:$B$976,"L2",'2024_2026'!$F$2:$F$976,0)-AVERAGEIFS('2024_2026'!$U$2:$U$976,'2024_2026'!$B$2:$B$976,"L2",'2024_2026'!$F$2:$F$976,8))/(AVERAGEIFS('2024_2026'!$U$2:$U$976,'2024_2026'!$B$2:$B$976,"L2",'2024_2026'!$F$2:$F$976,0)-$C19))),"")</f>
        <v>0.19686947157910961</v>
      </c>
      <c r="L19" s="306">
        <f>IFERROR(MAX(0,MIN(1,(AVERAGEIFS('2024_2026'!$U$2:$U$976,'2024_2026'!$B$2:$B$976,"L2",'2024_2026'!$F$2:$F$976,0)-AVERAGEIFS('2024_2026'!$U$2:$U$976,'2024_2026'!$B$2:$B$976,"L2",'2024_2026'!$F$2:$F$976,12))/(AVERAGEIFS('2024_2026'!$U$2:$U$976,'2024_2026'!$B$2:$B$976,"L2",'2024_2026'!$F$2:$F$976,0)-$C19))),"")</f>
        <v>0.32112914391200709</v>
      </c>
      <c r="M19" s="306">
        <f>IFERROR(MAX(0,MIN(1,(AVERAGEIFS('2024_2026'!$U$2:$U$976,'2024_2026'!$B$2:$B$976,"L2",'2024_2026'!$F$2:$F$976,0)-AVERAGEIFS('2024_2026'!$U$2:$U$976,'2024_2026'!$B$2:$B$976,"L2",'2024_2026'!$F$2:$F$976,21))/(AVERAGEIFS('2024_2026'!$U$2:$U$976,'2024_2026'!$B$2:$B$976,"L2",'2024_2026'!$F$2:$F$976,0)-$C19))),"")</f>
        <v>0.53772786708714737</v>
      </c>
      <c r="N19" s="306">
        <f>IFERROR(MAX(0,MIN(1,(AVERAGEIFS('2024_2026'!$U$2:$U$976,'2024_2026'!$B$2:$B$976,"L3",'2024_2026'!$F$2:$F$976,0)-AVERAGEIFS('2024_2026'!$U$2:$U$976,'2024_2026'!$B$2:$B$976,"L3",'2024_2026'!$F$2:$F$976,0))/(AVERAGEIFS('2024_2026'!$U$2:$U$976,'2024_2026'!$B$2:$B$976,"L3",'2024_2026'!$F$2:$F$976,0)-$C19))),"")</f>
        <v>0</v>
      </c>
      <c r="O19" s="306">
        <f>IFERROR(MAX(0,MIN(1,(AVERAGEIFS('2024_2026'!$U$2:$U$976,'2024_2026'!$B$2:$B$976,"L3",'2024_2026'!$F$2:$F$976,0)-AVERAGEIFS('2024_2026'!$U$2:$U$976,'2024_2026'!$B$2:$B$976,"L3",'2024_2026'!$F$2:$F$976,4))/(AVERAGEIFS('2024_2026'!$U$2:$U$976,'2024_2026'!$B$2:$B$976,"L3",'2024_2026'!$F$2:$F$976,0)-$C19))),"")</f>
        <v>0.10499923442045703</v>
      </c>
      <c r="P19" s="306">
        <f>IFERROR(MAX(0,MIN(1,(AVERAGEIFS('2024_2026'!$U$2:$U$976,'2024_2026'!$B$2:$B$976,"L3",'2024_2026'!$F$2:$F$976,0)-AVERAGEIFS('2024_2026'!$U$2:$U$976,'2024_2026'!$B$2:$B$976,"L3",'2024_2026'!$F$2:$F$976,8))/(AVERAGEIFS('2024_2026'!$U$2:$U$976,'2024_2026'!$B$2:$B$976,"L3",'2024_2026'!$F$2:$F$976,0)-$C19))),"")</f>
        <v>0.19093553820241951</v>
      </c>
      <c r="Q19" s="306">
        <f>IFERROR(MAX(0,MIN(1,(AVERAGEIFS('2024_2026'!$U$2:$U$976,'2024_2026'!$B$2:$B$976,"L3",'2024_2026'!$F$2:$F$976,0)-AVERAGEIFS('2024_2026'!$U$2:$U$976,'2024_2026'!$B$2:$B$976,"L3",'2024_2026'!$F$2:$F$976,12))/(AVERAGEIFS('2024_2026'!$U$2:$U$976,'2024_2026'!$B$2:$B$976,"L3",'2024_2026'!$F$2:$F$976,0)-$C19))),"")</f>
        <v>0.31836625325371321</v>
      </c>
      <c r="R19" s="306">
        <f>IFERROR(MAX(0,MIN(1,(AVERAGEIFS('2024_2026'!$U$2:$U$976,'2024_2026'!$B$2:$B$976,"L3",'2024_2026'!$F$2:$F$976,0)-AVERAGEIFS('2024_2026'!$U$2:$U$976,'2024_2026'!$B$2:$B$976,"L3",'2024_2026'!$F$2:$F$976,21))/(AVERAGEIFS('2024_2026'!$U$2:$U$976,'2024_2026'!$B$2:$B$976,"L3",'2024_2026'!$F$2:$F$976,0)-$C19))),"")</f>
        <v>0.52890062777522584</v>
      </c>
      <c r="S19" s="306">
        <f>IFERROR(MAX(0,MIN(1,(AVERAGEIFS('2024_2026'!$U$2:$U$976,'2024_2026'!$B$2:$B$976,"S",'2024_2026'!$F$2:$F$976,0)-AVERAGEIFS('2024_2026'!$U$2:$U$976,'2024_2026'!$B$2:$B$976,"S",'2024_2026'!$F$2:$F$976,0))/(AVERAGEIFS('2024_2026'!$U$2:$U$976,'2024_2026'!$B$2:$B$976,"S",'2024_2026'!$F$2:$F$976,0)-$C19))),"")</f>
        <v>0</v>
      </c>
      <c r="T19" s="306">
        <f>IFERROR(MAX(0,MIN(1,(AVERAGEIFS('2024_2026'!$U$2:$U$976,'2024_2026'!$B$2:$B$976,"S",'2024_2026'!$F$2:$F$976,0)-AVERAGEIFS('2024_2026'!$U$2:$U$976,'2024_2026'!$B$2:$B$976,"S",'2024_2026'!$F$2:$F$976,4))/(AVERAGEIFS('2024_2026'!$U$2:$U$976,'2024_2026'!$B$2:$B$976,"S",'2024_2026'!$F$2:$F$976,0)-$C19))),"")</f>
        <v>4.3701799485861205E-2</v>
      </c>
      <c r="U19" s="306">
        <f>IFERROR(MAX(0,MIN(1,(AVERAGEIFS('2024_2026'!$U$2:$U$976,'2024_2026'!$B$2:$B$976,"S",'2024_2026'!$F$2:$F$976,0)-AVERAGEIFS('2024_2026'!$U$2:$U$976,'2024_2026'!$B$2:$B$976,"S",'2024_2026'!$F$2:$F$976,8))/(AVERAGEIFS('2024_2026'!$U$2:$U$976,'2024_2026'!$B$2:$B$976,"S",'2024_2026'!$F$2:$F$976,0)-$C19))),"")</f>
        <v>7.2522833197483649E-2</v>
      </c>
      <c r="V19" s="306">
        <f>IFERROR(MAX(0,MIN(1,(AVERAGEIFS('2024_2026'!$U$2:$U$976,'2024_2026'!$B$2:$B$976,"S",'2024_2026'!$F$2:$F$976,0)-AVERAGEIFS('2024_2026'!$U$2:$U$976,'2024_2026'!$B$2:$B$976,"S",'2024_2026'!$F$2:$F$976,12))/(AVERAGEIFS('2024_2026'!$U$2:$U$976,'2024_2026'!$B$2:$B$976,"S",'2024_2026'!$F$2:$F$976,0)-$C19))),"")</f>
        <v>0.14372896942337021</v>
      </c>
      <c r="W19" s="306">
        <f>IFERROR(MAX(0,MIN(1,(AVERAGEIFS('2024_2026'!$U$2:$U$976,'2024_2026'!$B$2:$B$976,"S",'2024_2026'!$F$2:$F$976,0)-AVERAGEIFS('2024_2026'!$U$2:$U$976,'2024_2026'!$B$2:$B$976,"S",'2024_2026'!$F$2:$F$976,21))/(AVERAGEIFS('2024_2026'!$U$2:$U$976,'2024_2026'!$B$2:$B$976,"S",'2024_2026'!$F$2:$F$976,0)-$C19))),"")</f>
        <v>0.22973227161577525</v>
      </c>
    </row>
    <row r="20" spans="1:23" ht="16.5" customHeight="1" x14ac:dyDescent="0.25">
      <c r="A20" s="274" t="s">
        <v>433</v>
      </c>
      <c r="B20" s="72" t="s">
        <v>5024</v>
      </c>
      <c r="C20" s="305">
        <v>75</v>
      </c>
      <c r="D20" s="306">
        <f>IFERROR(MAX(0,MIN(1,(AVERAGEIFS('2024_2026'!$V$2:$V$976,'2024_2026'!$B$2:$B$976,"L1",'2024_2026'!$F$2:$F$976,0)-AVERAGEIFS('2024_2026'!$V$2:$V$976,'2024_2026'!$B$2:$B$976,"L1",'2024_2026'!$F$2:$F$976,0))/($C20-AVERAGEIFS('2024_2026'!$V$2:$V$976,'2024_2026'!$B$2:$B$976,"L1",'2024_2026'!$F$2:$F$976,0)))),"")</f>
        <v>0</v>
      </c>
      <c r="E20" s="306">
        <f>IFERROR(MAX(0,MIN(1,(AVERAGEIFS('2024_2026'!$V$2:$V$976,'2024_2026'!$B$2:$B$976,"L1",'2024_2026'!$F$2:$F$976,4)-AVERAGEIFS('2024_2026'!$V$2:$V$976,'2024_2026'!$B$2:$B$976,"L1",'2024_2026'!$F$2:$F$976,0))/($C20-AVERAGEIFS('2024_2026'!$V$2:$V$976,'2024_2026'!$B$2:$B$976,"L1",'2024_2026'!$F$2:$F$976,0)))),"")</f>
        <v>7.8583880917258001E-2</v>
      </c>
      <c r="F20" s="306">
        <f>IFERROR(MAX(0,MIN(1,(AVERAGEIFS('2024_2026'!$V$2:$V$976,'2024_2026'!$B$2:$B$976,"L1",'2024_2026'!$F$2:$F$976,8)-AVERAGEIFS('2024_2026'!$V$2:$V$976,'2024_2026'!$B$2:$B$976,"L1",'2024_2026'!$F$2:$F$976,0))/($C20-AVERAGEIFS('2024_2026'!$V$2:$V$976,'2024_2026'!$B$2:$B$976,"L1",'2024_2026'!$F$2:$F$976,0)))),"")</f>
        <v>0.14040498860131329</v>
      </c>
      <c r="G20" s="306">
        <f>IFERROR(MAX(0,MIN(1,(AVERAGEIFS('2024_2026'!$V$2:$V$976,'2024_2026'!$B$2:$B$976,"L1",'2024_2026'!$F$2:$F$976,12)-AVERAGEIFS('2024_2026'!$V$2:$V$976,'2024_2026'!$B$2:$B$976,"L1",'2024_2026'!$F$2:$F$976,0))/($C20-AVERAGEIFS('2024_2026'!$V$2:$V$976,'2024_2026'!$B$2:$B$976,"L1",'2024_2026'!$F$2:$F$976,0)))),"")</f>
        <v>0.20168968754190589</v>
      </c>
      <c r="H20" s="306">
        <f>IFERROR(MAX(0,MIN(1,(AVERAGEIFS('2024_2026'!$V$2:$V$976,'2024_2026'!$B$2:$B$976,"L1",'2024_2026'!$F$2:$F$976,21)-AVERAGEIFS('2024_2026'!$V$2:$V$976,'2024_2026'!$B$2:$B$976,"L1",'2024_2026'!$F$2:$F$976,0))/($C20-AVERAGEIFS('2024_2026'!$V$2:$V$976,'2024_2026'!$B$2:$B$976,"L1",'2024_2026'!$F$2:$F$976,0)))),"")</f>
        <v>0.35711412096017126</v>
      </c>
      <c r="I20" s="306">
        <f>IFERROR(MAX(0,MIN(1,(AVERAGEIFS('2024_2026'!$V$2:$V$976,'2024_2026'!$B$2:$B$976,"L2",'2024_2026'!$F$2:$F$976,0)-AVERAGEIFS('2024_2026'!$V$2:$V$976,'2024_2026'!$B$2:$B$976,"L2",'2024_2026'!$F$2:$F$976,0))/($C20-AVERAGEIFS('2024_2026'!$V$2:$V$976,'2024_2026'!$B$2:$B$976,"L2",'2024_2026'!$F$2:$F$976,0)))),"")</f>
        <v>0</v>
      </c>
      <c r="J20" s="306">
        <f>IFERROR(MAX(0,MIN(1,(AVERAGEIFS('2024_2026'!$V$2:$V$976,'2024_2026'!$B$2:$B$976,"L2",'2024_2026'!$F$2:$F$976,4)-AVERAGEIFS('2024_2026'!$V$2:$V$976,'2024_2026'!$B$2:$B$976,"L2",'2024_2026'!$F$2:$F$976,0))/($C20-AVERAGEIFS('2024_2026'!$V$2:$V$976,'2024_2026'!$B$2:$B$976,"L2",'2024_2026'!$F$2:$F$976,0)))),"")</f>
        <v>9.450067064992064E-2</v>
      </c>
      <c r="K20" s="306">
        <f>IFERROR(MAX(0,MIN(1,(AVERAGEIFS('2024_2026'!$V$2:$V$976,'2024_2026'!$B$2:$B$976,"L2",'2024_2026'!$F$2:$F$976,8)-AVERAGEIFS('2024_2026'!$V$2:$V$976,'2024_2026'!$B$2:$B$976,"L2",'2024_2026'!$F$2:$F$976,0))/($C20-AVERAGEIFS('2024_2026'!$V$2:$V$976,'2024_2026'!$B$2:$B$976,"L2",'2024_2026'!$F$2:$F$976,0)))),"")</f>
        <v>0.2196073649554923</v>
      </c>
      <c r="L20" s="306">
        <f>IFERROR(MAX(0,MIN(1,(AVERAGEIFS('2024_2026'!$V$2:$V$976,'2024_2026'!$B$2:$B$976,"L2",'2024_2026'!$F$2:$F$976,12)-AVERAGEIFS('2024_2026'!$V$2:$V$976,'2024_2026'!$B$2:$B$976,"L2",'2024_2026'!$F$2:$F$976,0))/($C20-AVERAGEIFS('2024_2026'!$V$2:$V$976,'2024_2026'!$B$2:$B$976,"L2",'2024_2026'!$F$2:$F$976,0)))),"")</f>
        <v>0.28179490306060262</v>
      </c>
      <c r="M20" s="306">
        <f>IFERROR(MAX(0,MIN(1,(AVERAGEIFS('2024_2026'!$V$2:$V$976,'2024_2026'!$B$2:$B$976,"L2",'2024_2026'!$F$2:$F$976,21)-AVERAGEIFS('2024_2026'!$V$2:$V$976,'2024_2026'!$B$2:$B$976,"L2",'2024_2026'!$F$2:$F$976,0))/($C20-AVERAGEIFS('2024_2026'!$V$2:$V$976,'2024_2026'!$B$2:$B$976,"L2",'2024_2026'!$F$2:$F$976,0)))),"")</f>
        <v>0.51737592976466318</v>
      </c>
      <c r="N20" s="306">
        <f>IFERROR(MAX(0,MIN(1,(AVERAGEIFS('2024_2026'!$V$2:$V$976,'2024_2026'!$B$2:$B$976,"L3",'2024_2026'!$F$2:$F$976,0)-AVERAGEIFS('2024_2026'!$V$2:$V$976,'2024_2026'!$B$2:$B$976,"L3",'2024_2026'!$F$2:$F$976,0))/($C20-AVERAGEIFS('2024_2026'!$V$2:$V$976,'2024_2026'!$B$2:$B$976,"L3",'2024_2026'!$F$2:$F$976,0)))),"")</f>
        <v>0</v>
      </c>
      <c r="O20" s="306">
        <f>IFERROR(MAX(0,MIN(1,(AVERAGEIFS('2024_2026'!$V$2:$V$976,'2024_2026'!$B$2:$B$976,"L3",'2024_2026'!$F$2:$F$976,4)-AVERAGEIFS('2024_2026'!$V$2:$V$976,'2024_2026'!$B$2:$B$976,"L3",'2024_2026'!$F$2:$F$976,0))/($C20-AVERAGEIFS('2024_2026'!$V$2:$V$976,'2024_2026'!$B$2:$B$976,"L3",'2024_2026'!$F$2:$F$976,0)))),"")</f>
        <v>9.8697019619589002E-2</v>
      </c>
      <c r="P20" s="306">
        <f>IFERROR(MAX(0,MIN(1,(AVERAGEIFS('2024_2026'!$V$2:$V$976,'2024_2026'!$B$2:$B$976,"L3",'2024_2026'!$F$2:$F$976,8)-AVERAGEIFS('2024_2026'!$V$2:$V$976,'2024_2026'!$B$2:$B$976,"L3",'2024_2026'!$F$2:$F$976,0))/($C20-AVERAGEIFS('2024_2026'!$V$2:$V$976,'2024_2026'!$B$2:$B$976,"L3",'2024_2026'!$F$2:$F$976,0)))),"")</f>
        <v>0.20727871798712014</v>
      </c>
      <c r="Q20" s="306">
        <f>IFERROR(MAX(0,MIN(1,(AVERAGEIFS('2024_2026'!$V$2:$V$976,'2024_2026'!$B$2:$B$976,"L3",'2024_2026'!$F$2:$F$976,12)-AVERAGEIFS('2024_2026'!$V$2:$V$976,'2024_2026'!$B$2:$B$976,"L3",'2024_2026'!$F$2:$F$976,0))/($C20-AVERAGEIFS('2024_2026'!$V$2:$V$976,'2024_2026'!$B$2:$B$976,"L3",'2024_2026'!$F$2:$F$976,0)))),"")</f>
        <v>0.32230043432679245</v>
      </c>
      <c r="R20" s="306">
        <f>IFERROR(MAX(0,MIN(1,(AVERAGEIFS('2024_2026'!$V$2:$V$976,'2024_2026'!$B$2:$B$976,"L3",'2024_2026'!$F$2:$F$976,21)-AVERAGEIFS('2024_2026'!$V$2:$V$976,'2024_2026'!$B$2:$B$976,"L3",'2024_2026'!$F$2:$F$976,0))/($C20-AVERAGEIFS('2024_2026'!$V$2:$V$976,'2024_2026'!$B$2:$B$976,"L3",'2024_2026'!$F$2:$F$976,0)))),"")</f>
        <v>0.55429084918376492</v>
      </c>
      <c r="S20" s="306">
        <f>IFERROR(MAX(0,MIN(1,(AVERAGEIFS('2024_2026'!$V$2:$V$976,'2024_2026'!$B$2:$B$976,"S",'2024_2026'!$F$2:$F$976,0)-AVERAGEIFS('2024_2026'!$V$2:$V$976,'2024_2026'!$B$2:$B$976,"S",'2024_2026'!$F$2:$F$976,0))/($C20-AVERAGEIFS('2024_2026'!$V$2:$V$976,'2024_2026'!$B$2:$B$976,"S",'2024_2026'!$F$2:$F$976,0)))),"")</f>
        <v>0</v>
      </c>
      <c r="T20" s="306">
        <f>IFERROR(MAX(0,MIN(1,(AVERAGEIFS('2024_2026'!$V$2:$V$976,'2024_2026'!$B$2:$B$976,"S",'2024_2026'!$F$2:$F$976,4)-AVERAGEIFS('2024_2026'!$V$2:$V$976,'2024_2026'!$B$2:$B$976,"S",'2024_2026'!$F$2:$F$976,0))/($C20-AVERAGEIFS('2024_2026'!$V$2:$V$976,'2024_2026'!$B$2:$B$976,"S",'2024_2026'!$F$2:$F$976,0)))),"")</f>
        <v>6.5869877785765502E-2</v>
      </c>
      <c r="U20" s="306">
        <f>IFERROR(MAX(0,MIN(1,(AVERAGEIFS('2024_2026'!$V$2:$V$976,'2024_2026'!$B$2:$B$976,"S",'2024_2026'!$F$2:$F$976,8)-AVERAGEIFS('2024_2026'!$V$2:$V$976,'2024_2026'!$B$2:$B$976,"S",'2024_2026'!$F$2:$F$976,0))/($C20-AVERAGEIFS('2024_2026'!$V$2:$V$976,'2024_2026'!$B$2:$B$976,"S",'2024_2026'!$F$2:$F$976,0)))),"")</f>
        <v>9.7052480230051141E-2</v>
      </c>
      <c r="V20" s="306">
        <f>IFERROR(MAX(0,MIN(1,(AVERAGEIFS('2024_2026'!$V$2:$V$976,'2024_2026'!$B$2:$B$976,"S",'2024_2026'!$F$2:$F$976,12)-AVERAGEIFS('2024_2026'!$V$2:$V$976,'2024_2026'!$B$2:$B$976,"S",'2024_2026'!$F$2:$F$976,0))/($C20-AVERAGEIFS('2024_2026'!$V$2:$V$976,'2024_2026'!$B$2:$B$976,"S",'2024_2026'!$F$2:$F$976,0)))),"")</f>
        <v>0.14602803738317804</v>
      </c>
      <c r="W20" s="306">
        <f>IFERROR(MAX(0,MIN(1,(AVERAGEIFS('2024_2026'!$V$2:$V$976,'2024_2026'!$B$2:$B$976,"S",'2024_2026'!$F$2:$F$976,21)-AVERAGEIFS('2024_2026'!$V$2:$V$976,'2024_2026'!$B$2:$B$976,"S",'2024_2026'!$F$2:$F$976,0))/($C20-AVERAGEIFS('2024_2026'!$V$2:$V$976,'2024_2026'!$B$2:$B$976,"S",'2024_2026'!$F$2:$F$976,0)))),"")</f>
        <v>0.26860172537742605</v>
      </c>
    </row>
    <row r="21" spans="1:23" ht="16.5" customHeight="1" x14ac:dyDescent="0.25">
      <c r="A21" s="274" t="s">
        <v>195</v>
      </c>
      <c r="B21" s="72" t="s">
        <v>5024</v>
      </c>
      <c r="C21" s="305">
        <v>85</v>
      </c>
      <c r="D21" s="306">
        <f>IFERROR(MAX(0,MIN(1,(AVERAGEIFS('2024_2026'!$W$2:$W$976,'2024_2026'!$B$2:$B$976,"L1",'2024_2026'!$F$2:$F$976,0)-AVERAGEIFS('2024_2026'!$W$2:$W$976,'2024_2026'!$B$2:$B$976,"L1",'2024_2026'!$F$2:$F$976,0))/($C21-AVERAGEIFS('2024_2026'!$W$2:$W$976,'2024_2026'!$B$2:$B$976,"L1",'2024_2026'!$F$2:$F$976,0)))),"")</f>
        <v>0</v>
      </c>
      <c r="E21" s="306">
        <f>IFERROR(MAX(0,MIN(1,(AVERAGEIFS('2024_2026'!$W$2:$W$976,'2024_2026'!$B$2:$B$976,"L1",'2024_2026'!$F$2:$F$976,4)-AVERAGEIFS('2024_2026'!$W$2:$W$976,'2024_2026'!$B$2:$B$976,"L1",'2024_2026'!$F$2:$F$976,0))/($C21-AVERAGEIFS('2024_2026'!$W$2:$W$976,'2024_2026'!$B$2:$B$976,"L1",'2024_2026'!$F$2:$F$976,0)))),"")</f>
        <v>7.6392877656519184E-2</v>
      </c>
      <c r="F21" s="306">
        <f>IFERROR(MAX(0,MIN(1,(AVERAGEIFS('2024_2026'!$W$2:$W$976,'2024_2026'!$B$2:$B$976,"L1",'2024_2026'!$F$2:$F$976,8)-AVERAGEIFS('2024_2026'!$W$2:$W$976,'2024_2026'!$B$2:$B$976,"L1",'2024_2026'!$F$2:$F$976,0))/($C21-AVERAGEIFS('2024_2026'!$W$2:$W$976,'2024_2026'!$B$2:$B$976,"L1",'2024_2026'!$F$2:$F$976,0)))),"")</f>
        <v>0.13670304422745544</v>
      </c>
      <c r="G21" s="306">
        <f>IFERROR(MAX(0,MIN(1,(AVERAGEIFS('2024_2026'!$W$2:$W$976,'2024_2026'!$B$2:$B$976,"L1",'2024_2026'!$F$2:$F$976,12)-AVERAGEIFS('2024_2026'!$W$2:$W$976,'2024_2026'!$B$2:$B$976,"L1",'2024_2026'!$F$2:$F$976,0))/($C21-AVERAGEIFS('2024_2026'!$W$2:$W$976,'2024_2026'!$B$2:$B$976,"L1",'2024_2026'!$F$2:$F$976,0)))),"")</f>
        <v>0.20333141872487065</v>
      </c>
      <c r="H21" s="306">
        <f>IFERROR(MAX(0,MIN(1,(AVERAGEIFS('2024_2026'!$W$2:$W$976,'2024_2026'!$B$2:$B$976,"L1",'2024_2026'!$F$2:$F$976,21)-AVERAGEIFS('2024_2026'!$W$2:$W$976,'2024_2026'!$B$2:$B$976,"L1",'2024_2026'!$F$2:$F$976,0))/($C21-AVERAGEIFS('2024_2026'!$W$2:$W$976,'2024_2026'!$B$2:$B$976,"L1",'2024_2026'!$F$2:$F$976,0)))),"")</f>
        <v>0.34577828834003438</v>
      </c>
      <c r="I21" s="306">
        <f>IFERROR(MAX(0,MIN(1,(AVERAGEIFS('2024_2026'!$W$2:$W$976,'2024_2026'!$B$2:$B$976,"L2",'2024_2026'!$F$2:$F$976,0)-AVERAGEIFS('2024_2026'!$W$2:$W$976,'2024_2026'!$B$2:$B$976,"L2",'2024_2026'!$F$2:$F$976,0))/($C21-AVERAGEIFS('2024_2026'!$W$2:$W$976,'2024_2026'!$B$2:$B$976,"L2",'2024_2026'!$F$2:$F$976,0)))),"")</f>
        <v>0</v>
      </c>
      <c r="J21" s="306">
        <f>IFERROR(MAX(0,MIN(1,(AVERAGEIFS('2024_2026'!$W$2:$W$976,'2024_2026'!$B$2:$B$976,"L2",'2024_2026'!$F$2:$F$976,4)-AVERAGEIFS('2024_2026'!$W$2:$W$976,'2024_2026'!$B$2:$B$976,"L2",'2024_2026'!$F$2:$F$976,0))/($C21-AVERAGEIFS('2024_2026'!$W$2:$W$976,'2024_2026'!$B$2:$B$976,"L2",'2024_2026'!$F$2:$F$976,0)))),"")</f>
        <v>8.6044071353620147E-2</v>
      </c>
      <c r="K21" s="306">
        <f>IFERROR(MAX(0,MIN(1,(AVERAGEIFS('2024_2026'!$W$2:$W$976,'2024_2026'!$B$2:$B$976,"L2",'2024_2026'!$F$2:$F$976,8)-AVERAGEIFS('2024_2026'!$W$2:$W$976,'2024_2026'!$B$2:$B$976,"L2",'2024_2026'!$F$2:$F$976,0))/($C21-AVERAGEIFS('2024_2026'!$W$2:$W$976,'2024_2026'!$B$2:$B$976,"L2",'2024_2026'!$F$2:$F$976,0)))),"")</f>
        <v>0.19359916054564538</v>
      </c>
      <c r="L21" s="306">
        <f>IFERROR(MAX(0,MIN(1,(AVERAGEIFS('2024_2026'!$W$2:$W$976,'2024_2026'!$B$2:$B$976,"L2",'2024_2026'!$F$2:$F$976,12)-AVERAGEIFS('2024_2026'!$W$2:$W$976,'2024_2026'!$B$2:$B$976,"L2",'2024_2026'!$F$2:$F$976,0))/($C21-AVERAGEIFS('2024_2026'!$W$2:$W$976,'2024_2026'!$B$2:$B$976,"L2",'2024_2026'!$F$2:$F$976,0)))),"")</f>
        <v>0.27964323189926554</v>
      </c>
      <c r="M21" s="306">
        <f>IFERROR(MAX(0,MIN(1,(AVERAGEIFS('2024_2026'!$W$2:$W$976,'2024_2026'!$B$2:$B$976,"L2",'2024_2026'!$F$2:$F$976,21)-AVERAGEIFS('2024_2026'!$W$2:$W$976,'2024_2026'!$B$2:$B$976,"L2",'2024_2026'!$F$2:$F$976,0))/($C21-AVERAGEIFS('2024_2026'!$W$2:$W$976,'2024_2026'!$B$2:$B$976,"L2",'2024_2026'!$F$2:$F$976,0)))),"")</f>
        <v>0.5094438614900314</v>
      </c>
      <c r="N21" s="306">
        <f>IFERROR(MAX(0,MIN(1,(AVERAGEIFS('2024_2026'!$W$2:$W$976,'2024_2026'!$B$2:$B$976,"L3",'2024_2026'!$F$2:$F$976,0)-AVERAGEIFS('2024_2026'!$W$2:$W$976,'2024_2026'!$B$2:$B$976,"L3",'2024_2026'!$F$2:$F$976,0))/($C21-AVERAGEIFS('2024_2026'!$W$2:$W$976,'2024_2026'!$B$2:$B$976,"L3",'2024_2026'!$F$2:$F$976,0)))),"")</f>
        <v>0</v>
      </c>
      <c r="O21" s="306">
        <f>IFERROR(MAX(0,MIN(1,(AVERAGEIFS('2024_2026'!$W$2:$W$976,'2024_2026'!$B$2:$B$976,"L3",'2024_2026'!$F$2:$F$976,4)-AVERAGEIFS('2024_2026'!$W$2:$W$976,'2024_2026'!$B$2:$B$976,"L3",'2024_2026'!$F$2:$F$976,0))/($C21-AVERAGEIFS('2024_2026'!$W$2:$W$976,'2024_2026'!$B$2:$B$976,"L3",'2024_2026'!$F$2:$F$976,0)))),"")</f>
        <v>9.2391304347826136E-2</v>
      </c>
      <c r="P21" s="306">
        <f>IFERROR(MAX(0,MIN(1,(AVERAGEIFS('2024_2026'!$W$2:$W$976,'2024_2026'!$B$2:$B$976,"L3",'2024_2026'!$F$2:$F$976,8)-AVERAGEIFS('2024_2026'!$W$2:$W$976,'2024_2026'!$B$2:$B$976,"L3",'2024_2026'!$F$2:$F$976,0))/($C21-AVERAGEIFS('2024_2026'!$W$2:$W$976,'2024_2026'!$B$2:$B$976,"L3",'2024_2026'!$F$2:$F$976,0)))),"")</f>
        <v>0.19904891304347822</v>
      </c>
      <c r="Q21" s="306">
        <f>IFERROR(MAX(0,MIN(1,(AVERAGEIFS('2024_2026'!$W$2:$W$976,'2024_2026'!$B$2:$B$976,"L3",'2024_2026'!$F$2:$F$976,12)-AVERAGEIFS('2024_2026'!$W$2:$W$976,'2024_2026'!$B$2:$B$976,"L3",'2024_2026'!$F$2:$F$976,0))/($C21-AVERAGEIFS('2024_2026'!$W$2:$W$976,'2024_2026'!$B$2:$B$976,"L3",'2024_2026'!$F$2:$F$976,0)))),"")</f>
        <v>0.30842391304347827</v>
      </c>
      <c r="R21" s="306">
        <f>IFERROR(MAX(0,MIN(1,(AVERAGEIFS('2024_2026'!$W$2:$W$976,'2024_2026'!$B$2:$B$976,"L3",'2024_2026'!$F$2:$F$976,21)-AVERAGEIFS('2024_2026'!$W$2:$W$976,'2024_2026'!$B$2:$B$976,"L3",'2024_2026'!$F$2:$F$976,0))/($C21-AVERAGEIFS('2024_2026'!$W$2:$W$976,'2024_2026'!$B$2:$B$976,"L3",'2024_2026'!$F$2:$F$976,0)))),"")</f>
        <v>0.5502717391304347</v>
      </c>
      <c r="S21" s="306">
        <f>IFERROR(MAX(0,MIN(1,(AVERAGEIFS('2024_2026'!$W$2:$W$976,'2024_2026'!$B$2:$B$976,"S",'2024_2026'!$F$2:$F$976,0)-AVERAGEIFS('2024_2026'!$W$2:$W$976,'2024_2026'!$B$2:$B$976,"S",'2024_2026'!$F$2:$F$976,0))/($C21-AVERAGEIFS('2024_2026'!$W$2:$W$976,'2024_2026'!$B$2:$B$976,"S",'2024_2026'!$F$2:$F$976,0)))),"")</f>
        <v>0</v>
      </c>
      <c r="T21" s="306">
        <f>IFERROR(MAX(0,MIN(1,(AVERAGEIFS('2024_2026'!$W$2:$W$976,'2024_2026'!$B$2:$B$976,"S",'2024_2026'!$F$2:$F$976,4)-AVERAGEIFS('2024_2026'!$W$2:$W$976,'2024_2026'!$B$2:$B$976,"S",'2024_2026'!$F$2:$F$976,0))/($C21-AVERAGEIFS('2024_2026'!$W$2:$W$976,'2024_2026'!$B$2:$B$976,"S",'2024_2026'!$F$2:$F$976,0)))),"")</f>
        <v>4.3624161073825482E-2</v>
      </c>
      <c r="U21" s="306">
        <f>IFERROR(MAX(0,MIN(1,(AVERAGEIFS('2024_2026'!$W$2:$W$976,'2024_2026'!$B$2:$B$976,"S",'2024_2026'!$F$2:$F$976,8)-AVERAGEIFS('2024_2026'!$W$2:$W$976,'2024_2026'!$B$2:$B$976,"S",'2024_2026'!$F$2:$F$976,0))/($C21-AVERAGEIFS('2024_2026'!$W$2:$W$976,'2024_2026'!$B$2:$B$976,"S",'2024_2026'!$F$2:$F$976,0)))),"")</f>
        <v>9.3214019388516089E-2</v>
      </c>
      <c r="V21" s="306">
        <f>IFERROR(MAX(0,MIN(1,(AVERAGEIFS('2024_2026'!$W$2:$W$976,'2024_2026'!$B$2:$B$976,"S",'2024_2026'!$F$2:$F$976,12)-AVERAGEIFS('2024_2026'!$W$2:$W$976,'2024_2026'!$B$2:$B$976,"S",'2024_2026'!$F$2:$F$976,0))/($C21-AVERAGEIFS('2024_2026'!$W$2:$W$976,'2024_2026'!$B$2:$B$976,"S",'2024_2026'!$F$2:$F$976,0)))),"")</f>
        <v>0.139075316927666</v>
      </c>
      <c r="W21" s="306">
        <f>IFERROR(MAX(0,MIN(1,(AVERAGEIFS('2024_2026'!$W$2:$W$976,'2024_2026'!$B$2:$B$976,"S",'2024_2026'!$F$2:$F$976,21)-AVERAGEIFS('2024_2026'!$W$2:$W$976,'2024_2026'!$B$2:$B$976,"S",'2024_2026'!$F$2:$F$976,0))/($C21-AVERAGEIFS('2024_2026'!$W$2:$W$976,'2024_2026'!$B$2:$B$976,"S",'2024_2026'!$F$2:$F$976,0)))),"")</f>
        <v>0.25316927665920952</v>
      </c>
    </row>
    <row r="22" spans="1:23" ht="16.5" customHeight="1" x14ac:dyDescent="0.25">
      <c r="A22" s="274" t="s">
        <v>1350</v>
      </c>
      <c r="B22" s="72" t="s">
        <v>5024</v>
      </c>
      <c r="C22" s="305">
        <v>550</v>
      </c>
      <c r="D22" s="306">
        <f>IFERROR(MAX(0,MIN(1,(AVERAGEIFS('2024_2026'!$X$2:$X$976,'2024_2026'!$B$2:$B$976,"L1",'2024_2026'!$F$2:$F$976,0)-AVERAGEIFS('2024_2026'!$X$2:$X$976,'2024_2026'!$B$2:$B$976,"L1",'2024_2026'!$F$2:$F$976,0))/($C22-AVERAGEIFS('2024_2026'!$X$2:$X$976,'2024_2026'!$B$2:$B$976,"L1",'2024_2026'!$F$2:$F$976,0)))),"")</f>
        <v>0</v>
      </c>
      <c r="E22" s="306">
        <f>IFERROR(MAX(0,MIN(1,(AVERAGEIFS('2024_2026'!$X$2:$X$976,'2024_2026'!$B$2:$B$976,"L1",'2024_2026'!$F$2:$F$976,4)-AVERAGEIFS('2024_2026'!$X$2:$X$976,'2024_2026'!$B$2:$B$976,"L1",'2024_2026'!$F$2:$F$976,0))/($C22-AVERAGEIFS('2024_2026'!$X$2:$X$976,'2024_2026'!$B$2:$B$976,"L1",'2024_2026'!$F$2:$F$976,0)))),"")</f>
        <v>7.6269035532994869E-2</v>
      </c>
      <c r="F22" s="306">
        <f>IFERROR(MAX(0,MIN(1,(AVERAGEIFS('2024_2026'!$X$2:$X$976,'2024_2026'!$B$2:$B$976,"L1",'2024_2026'!$F$2:$F$976,8)-AVERAGEIFS('2024_2026'!$X$2:$X$976,'2024_2026'!$B$2:$B$976,"L1",'2024_2026'!$F$2:$F$976,0))/($C22-AVERAGEIFS('2024_2026'!$X$2:$X$976,'2024_2026'!$B$2:$B$976,"L1",'2024_2026'!$F$2:$F$976,0)))),"")</f>
        <v>0.14835025380710651</v>
      </c>
      <c r="G22" s="306">
        <f>IFERROR(MAX(0,MIN(1,(AVERAGEIFS('2024_2026'!$X$2:$X$976,'2024_2026'!$B$2:$B$976,"L1",'2024_2026'!$F$2:$F$976,12)-AVERAGEIFS('2024_2026'!$X$2:$X$976,'2024_2026'!$B$2:$B$976,"L1",'2024_2026'!$F$2:$F$976,0))/($C22-AVERAGEIFS('2024_2026'!$X$2:$X$976,'2024_2026'!$B$2:$B$976,"L1",'2024_2026'!$F$2:$F$976,0)))),"")</f>
        <v>0.23274111675126888</v>
      </c>
      <c r="H22" s="306">
        <f>IFERROR(MAX(0,MIN(1,(AVERAGEIFS('2024_2026'!$X$2:$X$976,'2024_2026'!$B$2:$B$976,"L1",'2024_2026'!$F$2:$F$976,21)-AVERAGEIFS('2024_2026'!$X$2:$X$976,'2024_2026'!$B$2:$B$976,"L1",'2024_2026'!$F$2:$F$976,0))/($C22-AVERAGEIFS('2024_2026'!$X$2:$X$976,'2024_2026'!$B$2:$B$976,"L1",'2024_2026'!$F$2:$F$976,0)))),"")</f>
        <v>0.40076142131979681</v>
      </c>
      <c r="I22" s="306">
        <f>IFERROR(MAX(0,MIN(1,(AVERAGEIFS('2024_2026'!$X$2:$X$976,'2024_2026'!$B$2:$B$976,"L2",'2024_2026'!$F$2:$F$976,0)-AVERAGEIFS('2024_2026'!$X$2:$X$976,'2024_2026'!$B$2:$B$976,"L2",'2024_2026'!$F$2:$F$976,0))/($C22-AVERAGEIFS('2024_2026'!$X$2:$X$976,'2024_2026'!$B$2:$B$976,"L2",'2024_2026'!$F$2:$F$976,0)))),"")</f>
        <v>0</v>
      </c>
      <c r="J22" s="306">
        <f>IFERROR(MAX(0,MIN(1,(AVERAGEIFS('2024_2026'!$X$2:$X$976,'2024_2026'!$B$2:$B$976,"L2",'2024_2026'!$F$2:$F$976,4)-AVERAGEIFS('2024_2026'!$X$2:$X$976,'2024_2026'!$B$2:$B$976,"L2",'2024_2026'!$F$2:$F$976,0))/($C22-AVERAGEIFS('2024_2026'!$X$2:$X$976,'2024_2026'!$B$2:$B$976,"L2",'2024_2026'!$F$2:$F$976,0)))),"")</f>
        <v>0.10508057296329459</v>
      </c>
      <c r="K22" s="306">
        <f>IFERROR(MAX(0,MIN(1,(AVERAGEIFS('2024_2026'!$X$2:$X$976,'2024_2026'!$B$2:$B$976,"L2",'2024_2026'!$F$2:$F$976,8)-AVERAGEIFS('2024_2026'!$X$2:$X$976,'2024_2026'!$B$2:$B$976,"L2",'2024_2026'!$F$2:$F$976,0))/($C22-AVERAGEIFS('2024_2026'!$X$2:$X$976,'2024_2026'!$B$2:$B$976,"L2",'2024_2026'!$F$2:$F$976,0)))),"")</f>
        <v>0.24574753804834384</v>
      </c>
      <c r="L22" s="306">
        <f>IFERROR(MAX(0,MIN(1,(AVERAGEIFS('2024_2026'!$X$2:$X$976,'2024_2026'!$B$2:$B$976,"L2",'2024_2026'!$F$2:$F$976,12)-AVERAGEIFS('2024_2026'!$X$2:$X$976,'2024_2026'!$B$2:$B$976,"L2",'2024_2026'!$F$2:$F$976,0))/($C22-AVERAGEIFS('2024_2026'!$X$2:$X$976,'2024_2026'!$B$2:$B$976,"L2",'2024_2026'!$F$2:$F$976,0)))),"")</f>
        <v>0.34232318710832582</v>
      </c>
      <c r="M22" s="306">
        <f>IFERROR(MAX(0,MIN(1,(AVERAGEIFS('2024_2026'!$X$2:$X$976,'2024_2026'!$B$2:$B$976,"L2",'2024_2026'!$F$2:$F$976,21)-AVERAGEIFS('2024_2026'!$X$2:$X$976,'2024_2026'!$B$2:$B$976,"L2",'2024_2026'!$F$2:$F$976,0))/($C22-AVERAGEIFS('2024_2026'!$X$2:$X$976,'2024_2026'!$B$2:$B$976,"L2",'2024_2026'!$F$2:$F$976,0)))),"")</f>
        <v>0.61425693822739491</v>
      </c>
      <c r="N22" s="306">
        <f>IFERROR(MAX(0,MIN(1,(AVERAGEIFS('2024_2026'!$X$2:$X$976,'2024_2026'!$B$2:$B$976,"L3",'2024_2026'!$F$2:$F$976,0)-AVERAGEIFS('2024_2026'!$X$2:$X$976,'2024_2026'!$B$2:$B$976,"L3",'2024_2026'!$F$2:$F$976,0))/($C22-AVERAGEIFS('2024_2026'!$X$2:$X$976,'2024_2026'!$B$2:$B$976,"L3",'2024_2026'!$F$2:$F$976,0)))),"")</f>
        <v>0</v>
      </c>
      <c r="O22" s="306">
        <f>IFERROR(MAX(0,MIN(1,(AVERAGEIFS('2024_2026'!$X$2:$X$976,'2024_2026'!$B$2:$B$976,"L3",'2024_2026'!$F$2:$F$976,4)-AVERAGEIFS('2024_2026'!$X$2:$X$976,'2024_2026'!$B$2:$B$976,"L3",'2024_2026'!$F$2:$F$976,0))/($C22-AVERAGEIFS('2024_2026'!$X$2:$X$976,'2024_2026'!$B$2:$B$976,"L3",'2024_2026'!$F$2:$F$976,0)))),"")</f>
        <v>0.11954864287892643</v>
      </c>
      <c r="P22" s="306">
        <f>IFERROR(MAX(0,MIN(1,(AVERAGEIFS('2024_2026'!$X$2:$X$976,'2024_2026'!$B$2:$B$976,"L3",'2024_2026'!$F$2:$F$976,8)-AVERAGEIFS('2024_2026'!$X$2:$X$976,'2024_2026'!$B$2:$B$976,"L3",'2024_2026'!$F$2:$F$976,0))/($C22-AVERAGEIFS('2024_2026'!$X$2:$X$976,'2024_2026'!$B$2:$B$976,"L3",'2024_2026'!$F$2:$F$976,0)))),"")</f>
        <v>0.25846294602012809</v>
      </c>
      <c r="Q22" s="306">
        <f>IFERROR(MAX(0,MIN(1,(AVERAGEIFS('2024_2026'!$X$2:$X$976,'2024_2026'!$B$2:$B$976,"L3",'2024_2026'!$F$2:$F$976,12)-AVERAGEIFS('2024_2026'!$X$2:$X$976,'2024_2026'!$B$2:$B$976,"L3",'2024_2026'!$F$2:$F$976,0))/($C22-AVERAGEIFS('2024_2026'!$X$2:$X$976,'2024_2026'!$B$2:$B$976,"L3",'2024_2026'!$F$2:$F$976,0)))),"")</f>
        <v>0.35834095760902696</v>
      </c>
      <c r="R22" s="306">
        <f>IFERROR(MAX(0,MIN(1,(AVERAGEIFS('2024_2026'!$X$2:$X$976,'2024_2026'!$B$2:$B$976,"L3",'2024_2026'!$F$2:$F$976,21)-AVERAGEIFS('2024_2026'!$X$2:$X$976,'2024_2026'!$B$2:$B$976,"L3",'2024_2026'!$F$2:$F$976,0))/($C22-AVERAGEIFS('2024_2026'!$X$2:$X$976,'2024_2026'!$B$2:$B$976,"L3",'2024_2026'!$F$2:$F$976,0)))),"")</f>
        <v>0.63113754193351612</v>
      </c>
      <c r="S22" s="306">
        <f>IFERROR(MAX(0,MIN(1,(AVERAGEIFS('2024_2026'!$X$2:$X$976,'2024_2026'!$B$2:$B$976,"S",'2024_2026'!$F$2:$F$976,0)-AVERAGEIFS('2024_2026'!$X$2:$X$976,'2024_2026'!$B$2:$B$976,"S",'2024_2026'!$F$2:$F$976,0))/($C22-AVERAGEIFS('2024_2026'!$X$2:$X$976,'2024_2026'!$B$2:$B$976,"S",'2024_2026'!$F$2:$F$976,0)))),"")</f>
        <v>0</v>
      </c>
      <c r="T22" s="306">
        <f>IFERROR(MAX(0,MIN(1,(AVERAGEIFS('2024_2026'!$X$2:$X$976,'2024_2026'!$B$2:$B$976,"S",'2024_2026'!$F$2:$F$976,4)-AVERAGEIFS('2024_2026'!$X$2:$X$976,'2024_2026'!$B$2:$B$976,"S",'2024_2026'!$F$2:$F$976,0))/($C22-AVERAGEIFS('2024_2026'!$X$2:$X$976,'2024_2026'!$B$2:$B$976,"S",'2024_2026'!$F$2:$F$976,0)))),"")</f>
        <v>4.5574855252274768E-2</v>
      </c>
      <c r="U22" s="306">
        <f>IFERROR(MAX(0,MIN(1,(AVERAGEIFS('2024_2026'!$X$2:$X$976,'2024_2026'!$B$2:$B$976,"S",'2024_2026'!$F$2:$F$976,8)-AVERAGEIFS('2024_2026'!$X$2:$X$976,'2024_2026'!$B$2:$B$976,"S",'2024_2026'!$F$2:$F$976,0))/($C22-AVERAGEIFS('2024_2026'!$X$2:$X$976,'2024_2026'!$B$2:$B$976,"S",'2024_2026'!$F$2:$F$976,0)))),"")</f>
        <v>0.1101736972704716</v>
      </c>
      <c r="V22" s="306">
        <f>IFERROR(MAX(0,MIN(1,(AVERAGEIFS('2024_2026'!$X$2:$X$976,'2024_2026'!$B$2:$B$976,"S",'2024_2026'!$F$2:$F$976,12)-AVERAGEIFS('2024_2026'!$X$2:$X$976,'2024_2026'!$B$2:$B$976,"S",'2024_2026'!$F$2:$F$976,0))/($C22-AVERAGEIFS('2024_2026'!$X$2:$X$976,'2024_2026'!$B$2:$B$976,"S",'2024_2026'!$F$2:$F$976,0)))),"")</f>
        <v>0.16418527708850283</v>
      </c>
      <c r="W22" s="306">
        <f>IFERROR(MAX(0,MIN(1,(AVERAGEIFS('2024_2026'!$X$2:$X$976,'2024_2026'!$B$2:$B$976,"S",'2024_2026'!$F$2:$F$976,21)-AVERAGEIFS('2024_2026'!$X$2:$X$976,'2024_2026'!$B$2:$B$976,"S",'2024_2026'!$F$2:$F$976,0))/($C22-AVERAGEIFS('2024_2026'!$X$2:$X$976,'2024_2026'!$B$2:$B$976,"S",'2024_2026'!$F$2:$F$976,0)))),"")</f>
        <v>0.28378825475599667</v>
      </c>
    </row>
    <row r="23" spans="1:23" ht="16.5" customHeight="1" x14ac:dyDescent="0.25">
      <c r="A23" s="274" t="s">
        <v>202</v>
      </c>
      <c r="B23" s="72" t="s">
        <v>313</v>
      </c>
      <c r="C23" s="305">
        <v>8</v>
      </c>
      <c r="D23" s="306">
        <f>IFERROR(MAX(0,MIN(1,(AVERAGEIFS('2024_2026'!$Y$2:$Y$976,'2024_2026'!$B$2:$B$976,"L1",'2024_2026'!$F$2:$F$976,0)-AVERAGEIFS('2024_2026'!$Y$2:$Y$976,'2024_2026'!$B$2:$B$976,"L1",'2024_2026'!$F$2:$F$976,0))/(AVERAGEIFS('2024_2026'!$Y$2:$Y$976,'2024_2026'!$B$2:$B$976,"L1",'2024_2026'!$F$2:$F$976,0)-$C23))),"")</f>
        <v>0</v>
      </c>
      <c r="E23" s="306">
        <f>IFERROR(MAX(0,MIN(1,(AVERAGEIFS('2024_2026'!$Y$2:$Y$976,'2024_2026'!$B$2:$B$976,"L1",'2024_2026'!$F$2:$F$976,0)-AVERAGEIFS('2024_2026'!$Y$2:$Y$976,'2024_2026'!$B$2:$B$976,"L1",'2024_2026'!$F$2:$F$976,4))/(AVERAGEIFS('2024_2026'!$Y$2:$Y$976,'2024_2026'!$B$2:$B$976,"L1",'2024_2026'!$F$2:$F$976,0)-$C23))),"")</f>
        <v>7.6023827252419116E-2</v>
      </c>
      <c r="F23" s="306">
        <f>IFERROR(MAX(0,MIN(1,(AVERAGEIFS('2024_2026'!$Y$2:$Y$976,'2024_2026'!$B$2:$B$976,"L1",'2024_2026'!$F$2:$F$976,0)-AVERAGEIFS('2024_2026'!$Y$2:$Y$976,'2024_2026'!$B$2:$B$976,"L1",'2024_2026'!$F$2:$F$976,8))/(AVERAGEIFS('2024_2026'!$Y$2:$Y$976,'2024_2026'!$B$2:$B$976,"L1",'2024_2026'!$F$2:$F$976,0)-$C23))),"")</f>
        <v>0.14690990320178732</v>
      </c>
      <c r="G23" s="306">
        <f>IFERROR(MAX(0,MIN(1,(AVERAGEIFS('2024_2026'!$Y$2:$Y$976,'2024_2026'!$B$2:$B$976,"L1",'2024_2026'!$F$2:$F$976,0)-AVERAGEIFS('2024_2026'!$Y$2:$Y$976,'2024_2026'!$B$2:$B$976,"L1",'2024_2026'!$F$2:$F$976,12))/(AVERAGEIFS('2024_2026'!$Y$2:$Y$976,'2024_2026'!$B$2:$B$976,"L1",'2024_2026'!$F$2:$F$976,0)-$C23))),"")</f>
        <v>0.2404318689501112</v>
      </c>
      <c r="H23" s="306">
        <f>IFERROR(MAX(0,MIN(1,(AVERAGEIFS('2024_2026'!$Y$2:$Y$976,'2024_2026'!$B$2:$B$976,"L1",'2024_2026'!$F$2:$F$976,0)-AVERAGEIFS('2024_2026'!$Y$2:$Y$976,'2024_2026'!$B$2:$B$976,"L1",'2024_2026'!$F$2:$F$976,21))/(AVERAGEIFS('2024_2026'!$Y$2:$Y$976,'2024_2026'!$B$2:$B$976,"L1",'2024_2026'!$F$2:$F$976,0)-$C23))),"")</f>
        <v>0.40588235294117536</v>
      </c>
      <c r="I23" s="306">
        <f>IFERROR(MAX(0,MIN(1,(AVERAGEIFS('2024_2026'!$Y$2:$Y$976,'2024_2026'!$B$2:$B$976,"L2",'2024_2026'!$F$2:$F$976,0)-AVERAGEIFS('2024_2026'!$Y$2:$Y$976,'2024_2026'!$B$2:$B$976,"L2",'2024_2026'!$F$2:$F$976,0))/(AVERAGEIFS('2024_2026'!$Y$2:$Y$976,'2024_2026'!$B$2:$B$976,"L2",'2024_2026'!$F$2:$F$976,0)-$C23))),"")</f>
        <v>0</v>
      </c>
      <c r="J23" s="306">
        <f>IFERROR(MAX(0,MIN(1,(AVERAGEIFS('2024_2026'!$Y$2:$Y$976,'2024_2026'!$B$2:$B$976,"L2",'2024_2026'!$F$2:$F$976,0)-AVERAGEIFS('2024_2026'!$Y$2:$Y$976,'2024_2026'!$B$2:$B$976,"L2",'2024_2026'!$F$2:$F$976,4))/(AVERAGEIFS('2024_2026'!$Y$2:$Y$976,'2024_2026'!$B$2:$B$976,"L2",'2024_2026'!$F$2:$F$976,0)-$C23))),"")</f>
        <v>0.10925844668714291</v>
      </c>
      <c r="K23" s="306">
        <f>IFERROR(MAX(0,MIN(1,(AVERAGEIFS('2024_2026'!$Y$2:$Y$976,'2024_2026'!$B$2:$B$976,"L2",'2024_2026'!$F$2:$F$976,0)-AVERAGEIFS('2024_2026'!$Y$2:$Y$976,'2024_2026'!$B$2:$B$976,"L2",'2024_2026'!$F$2:$F$976,8))/(AVERAGEIFS('2024_2026'!$Y$2:$Y$976,'2024_2026'!$B$2:$B$976,"L2",'2024_2026'!$F$2:$F$976,0)-$C23))),"")</f>
        <v>0.24616059675296048</v>
      </c>
      <c r="L23" s="306">
        <f>IFERROR(MAX(0,MIN(1,(AVERAGEIFS('2024_2026'!$Y$2:$Y$976,'2024_2026'!$B$2:$B$976,"L2",'2024_2026'!$F$2:$F$976,0)-AVERAGEIFS('2024_2026'!$Y$2:$Y$976,'2024_2026'!$B$2:$B$976,"L2",'2024_2026'!$F$2:$F$976,12))/(AVERAGEIFS('2024_2026'!$Y$2:$Y$976,'2024_2026'!$B$2:$B$976,"L2",'2024_2026'!$F$2:$F$976,0)-$C23))),"")</f>
        <v>0.35087444367830434</v>
      </c>
      <c r="M23" s="306">
        <f>IFERROR(MAX(0,MIN(1,(AVERAGEIFS('2024_2026'!$Y$2:$Y$976,'2024_2026'!$B$2:$B$976,"L2",'2024_2026'!$F$2:$F$976,0)-AVERAGEIFS('2024_2026'!$Y$2:$Y$976,'2024_2026'!$B$2:$B$976,"L2",'2024_2026'!$F$2:$F$976,21))/(AVERAGEIFS('2024_2026'!$Y$2:$Y$976,'2024_2026'!$B$2:$B$976,"L2",'2024_2026'!$F$2:$F$976,0)-$C23))),"")</f>
        <v>0.61411646712217083</v>
      </c>
      <c r="N23" s="306">
        <f>IFERROR(MAX(0,MIN(1,(AVERAGEIFS('2024_2026'!$Y$2:$Y$976,'2024_2026'!$B$2:$B$976,"L3",'2024_2026'!$F$2:$F$976,0)-AVERAGEIFS('2024_2026'!$Y$2:$Y$976,'2024_2026'!$B$2:$B$976,"L3",'2024_2026'!$F$2:$F$976,0))/(AVERAGEIFS('2024_2026'!$Y$2:$Y$976,'2024_2026'!$B$2:$B$976,"L3",'2024_2026'!$F$2:$F$976,0)-$C23))),"")</f>
        <v>0</v>
      </c>
      <c r="O23" s="306">
        <f>IFERROR(MAX(0,MIN(1,(AVERAGEIFS('2024_2026'!$Y$2:$Y$976,'2024_2026'!$B$2:$B$976,"L3",'2024_2026'!$F$2:$F$976,0)-AVERAGEIFS('2024_2026'!$Y$2:$Y$976,'2024_2026'!$B$2:$B$976,"L3",'2024_2026'!$F$2:$F$976,4))/(AVERAGEIFS('2024_2026'!$Y$2:$Y$976,'2024_2026'!$B$2:$B$976,"L3",'2024_2026'!$F$2:$F$976,0)-$C23))),"")</f>
        <v>0.11415313225058042</v>
      </c>
      <c r="P23" s="306">
        <f>IFERROR(MAX(0,MIN(1,(AVERAGEIFS('2024_2026'!$Y$2:$Y$976,'2024_2026'!$B$2:$B$976,"L3",'2024_2026'!$F$2:$F$976,0)-AVERAGEIFS('2024_2026'!$Y$2:$Y$976,'2024_2026'!$B$2:$B$976,"L3",'2024_2026'!$F$2:$F$976,8))/(AVERAGEIFS('2024_2026'!$Y$2:$Y$976,'2024_2026'!$B$2:$B$976,"L3",'2024_2026'!$F$2:$F$976,0)-$C23))),"")</f>
        <v>0.25602193630035885</v>
      </c>
      <c r="Q23" s="306">
        <f>IFERROR(MAX(0,MIN(1,(AVERAGEIFS('2024_2026'!$Y$2:$Y$976,'2024_2026'!$B$2:$B$976,"L3",'2024_2026'!$F$2:$F$976,0)-AVERAGEIFS('2024_2026'!$Y$2:$Y$976,'2024_2026'!$B$2:$B$976,"L3",'2024_2026'!$F$2:$F$976,12))/(AVERAGEIFS('2024_2026'!$Y$2:$Y$976,'2024_2026'!$B$2:$B$976,"L3",'2024_2026'!$F$2:$F$976,0)-$C23))),"")</f>
        <v>0.36093651128453924</v>
      </c>
      <c r="R23" s="306">
        <f>IFERROR(MAX(0,MIN(1,(AVERAGEIFS('2024_2026'!$Y$2:$Y$976,'2024_2026'!$B$2:$B$976,"L3",'2024_2026'!$F$2:$F$976,0)-AVERAGEIFS('2024_2026'!$Y$2:$Y$976,'2024_2026'!$B$2:$B$976,"L3",'2024_2026'!$F$2:$F$976,21))/(AVERAGEIFS('2024_2026'!$Y$2:$Y$976,'2024_2026'!$B$2:$B$976,"L3",'2024_2026'!$F$2:$F$976,0)-$C23))),"")</f>
        <v>0.63083737608099588</v>
      </c>
      <c r="S23" s="306">
        <f>IFERROR(MAX(0,MIN(1,(AVERAGEIFS('2024_2026'!$Y$2:$Y$976,'2024_2026'!$B$2:$B$976,"S",'2024_2026'!$F$2:$F$976,0)-AVERAGEIFS('2024_2026'!$Y$2:$Y$976,'2024_2026'!$B$2:$B$976,"S",'2024_2026'!$F$2:$F$976,0))/(AVERAGEIFS('2024_2026'!$Y$2:$Y$976,'2024_2026'!$B$2:$B$976,"S",'2024_2026'!$F$2:$F$976,0)-$C23))),"")</f>
        <v>0</v>
      </c>
      <c r="T23" s="306">
        <f>IFERROR(MAX(0,MIN(1,(AVERAGEIFS('2024_2026'!$Y$2:$Y$976,'2024_2026'!$B$2:$B$976,"S",'2024_2026'!$F$2:$F$976,0)-AVERAGEIFS('2024_2026'!$Y$2:$Y$976,'2024_2026'!$B$2:$B$976,"S",'2024_2026'!$F$2:$F$976,4))/(AVERAGEIFS('2024_2026'!$Y$2:$Y$976,'2024_2026'!$B$2:$B$976,"S",'2024_2026'!$F$2:$F$976,0)-$C23))),"")</f>
        <v>4.7412008281572916E-2</v>
      </c>
      <c r="U23" s="306">
        <f>IFERROR(MAX(0,MIN(1,(AVERAGEIFS('2024_2026'!$Y$2:$Y$976,'2024_2026'!$B$2:$B$976,"S",'2024_2026'!$F$2:$F$976,0)-AVERAGEIFS('2024_2026'!$Y$2:$Y$976,'2024_2026'!$B$2:$B$976,"S",'2024_2026'!$F$2:$F$976,8))/(AVERAGEIFS('2024_2026'!$Y$2:$Y$976,'2024_2026'!$B$2:$B$976,"S",'2024_2026'!$F$2:$F$976,0)-$C23))),"")</f>
        <v>0.12256728778467872</v>
      </c>
      <c r="V23" s="306">
        <f>IFERROR(MAX(0,MIN(1,(AVERAGEIFS('2024_2026'!$Y$2:$Y$976,'2024_2026'!$B$2:$B$976,"S",'2024_2026'!$F$2:$F$976,0)-AVERAGEIFS('2024_2026'!$Y$2:$Y$976,'2024_2026'!$B$2:$B$976,"S",'2024_2026'!$F$2:$F$976,12))/(AVERAGEIFS('2024_2026'!$Y$2:$Y$976,'2024_2026'!$B$2:$B$976,"S",'2024_2026'!$F$2:$F$976,0)-$C23))),"")</f>
        <v>0.15978835978835984</v>
      </c>
      <c r="W23" s="306">
        <f>IFERROR(MAX(0,MIN(1,(AVERAGEIFS('2024_2026'!$Y$2:$Y$976,'2024_2026'!$B$2:$B$976,"S",'2024_2026'!$F$2:$F$976,0)-AVERAGEIFS('2024_2026'!$Y$2:$Y$976,'2024_2026'!$B$2:$B$976,"S",'2024_2026'!$F$2:$F$976,21))/(AVERAGEIFS('2024_2026'!$Y$2:$Y$976,'2024_2026'!$B$2:$B$976,"S",'2024_2026'!$F$2:$F$976,0)-$C23))),"")</f>
        <v>0.28171152518978587</v>
      </c>
    </row>
    <row r="24" spans="1:23" ht="16.5" customHeight="1" x14ac:dyDescent="0.25">
      <c r="A24" s="274" t="s">
        <v>203</v>
      </c>
      <c r="B24" s="72" t="s">
        <v>5024</v>
      </c>
      <c r="C24" s="305">
        <v>45</v>
      </c>
      <c r="D24" s="306">
        <f>IFERROR(MAX(0,MIN(1,(AVERAGEIFS('2024_2026'!$Z$2:$Z$976,'2024_2026'!$B$2:$B$976,"L1",'2024_2026'!$F$2:$F$976,0)-AVERAGEIFS('2024_2026'!$Z$2:$Z$976,'2024_2026'!$B$2:$B$976,"L1",'2024_2026'!$F$2:$F$976,0))/($C24-AVERAGEIFS('2024_2026'!$Z$2:$Z$976,'2024_2026'!$B$2:$B$976,"L1",'2024_2026'!$F$2:$F$976,0)))),"")</f>
        <v>0</v>
      </c>
      <c r="E24" s="306">
        <f>IFERROR(MAX(0,MIN(1,(AVERAGEIFS('2024_2026'!$Z$2:$Z$976,'2024_2026'!$B$2:$B$976,"L1",'2024_2026'!$F$2:$F$976,4)-AVERAGEIFS('2024_2026'!$Z$2:$Z$976,'2024_2026'!$B$2:$B$976,"L1",'2024_2026'!$F$2:$F$976,0))/($C24-AVERAGEIFS('2024_2026'!$Z$2:$Z$976,'2024_2026'!$B$2:$B$976,"L1",'2024_2026'!$F$2:$F$976,0)))),"")</f>
        <v>7.1371927042029493E-2</v>
      </c>
      <c r="F24" s="306">
        <f>IFERROR(MAX(0,MIN(1,(AVERAGEIFS('2024_2026'!$Z$2:$Z$976,'2024_2026'!$B$2:$B$976,"L1",'2024_2026'!$F$2:$F$976,8)-AVERAGEIFS('2024_2026'!$Z$2:$Z$976,'2024_2026'!$B$2:$B$976,"L1",'2024_2026'!$F$2:$F$976,0))/($C24-AVERAGEIFS('2024_2026'!$Z$2:$Z$976,'2024_2026'!$B$2:$B$976,"L1",'2024_2026'!$F$2:$F$976,0)))),"")</f>
        <v>0.14287602431932264</v>
      </c>
      <c r="G24" s="306">
        <f>IFERROR(MAX(0,MIN(1,(AVERAGEIFS('2024_2026'!$Z$2:$Z$976,'2024_2026'!$B$2:$B$976,"L1",'2024_2026'!$F$2:$F$976,12)-AVERAGEIFS('2024_2026'!$Z$2:$Z$976,'2024_2026'!$B$2:$B$976,"L1",'2024_2026'!$F$2:$F$976,0))/($C24-AVERAGEIFS('2024_2026'!$Z$2:$Z$976,'2024_2026'!$B$2:$B$976,"L1",'2024_2026'!$F$2:$F$976,0)))),"")</f>
        <v>0.22244250594766055</v>
      </c>
      <c r="H24" s="306">
        <f>IFERROR(MAX(0,MIN(1,(AVERAGEIFS('2024_2026'!$Z$2:$Z$976,'2024_2026'!$B$2:$B$976,"L1",'2024_2026'!$F$2:$F$976,21)-AVERAGEIFS('2024_2026'!$Z$2:$Z$976,'2024_2026'!$B$2:$B$976,"L1",'2024_2026'!$F$2:$F$976,0))/($C24-AVERAGEIFS('2024_2026'!$Z$2:$Z$976,'2024_2026'!$B$2:$B$976,"L1",'2024_2026'!$F$2:$F$976,0)))),"")</f>
        <v>0.39016653449643124</v>
      </c>
      <c r="I24" s="306">
        <f>IFERROR(MAX(0,MIN(1,(AVERAGEIFS('2024_2026'!$Z$2:$Z$976,'2024_2026'!$B$2:$B$976,"L2",'2024_2026'!$F$2:$F$976,0)-AVERAGEIFS('2024_2026'!$Z$2:$Z$976,'2024_2026'!$B$2:$B$976,"L2",'2024_2026'!$F$2:$F$976,0))/($C24-AVERAGEIFS('2024_2026'!$Z$2:$Z$976,'2024_2026'!$B$2:$B$976,"L2",'2024_2026'!$F$2:$F$976,0)))),"")</f>
        <v>0</v>
      </c>
      <c r="J24" s="306">
        <f>IFERROR(MAX(0,MIN(1,(AVERAGEIFS('2024_2026'!$Z$2:$Z$976,'2024_2026'!$B$2:$B$976,"L2",'2024_2026'!$F$2:$F$976,4)-AVERAGEIFS('2024_2026'!$Z$2:$Z$976,'2024_2026'!$B$2:$B$976,"L2",'2024_2026'!$F$2:$F$976,0))/($C24-AVERAGEIFS('2024_2026'!$Z$2:$Z$976,'2024_2026'!$B$2:$B$976,"L2",'2024_2026'!$F$2:$F$976,0)))),"")</f>
        <v>0.10416666666666692</v>
      </c>
      <c r="K24" s="306">
        <f>IFERROR(MAX(0,MIN(1,(AVERAGEIFS('2024_2026'!$Z$2:$Z$976,'2024_2026'!$B$2:$B$976,"L2",'2024_2026'!$F$2:$F$976,8)-AVERAGEIFS('2024_2026'!$Z$2:$Z$976,'2024_2026'!$B$2:$B$976,"L2",'2024_2026'!$F$2:$F$976,0))/($C24-AVERAGEIFS('2024_2026'!$Z$2:$Z$976,'2024_2026'!$B$2:$B$976,"L2",'2024_2026'!$F$2:$F$976,0)))),"")</f>
        <v>0.22276536312849204</v>
      </c>
      <c r="L24" s="306">
        <f>IFERROR(MAX(0,MIN(1,(AVERAGEIFS('2024_2026'!$Z$2:$Z$976,'2024_2026'!$B$2:$B$976,"L2",'2024_2026'!$F$2:$F$976,12)-AVERAGEIFS('2024_2026'!$Z$2:$Z$976,'2024_2026'!$B$2:$B$976,"L2",'2024_2026'!$F$2:$F$976,0))/($C24-AVERAGEIFS('2024_2026'!$Z$2:$Z$976,'2024_2026'!$B$2:$B$976,"L2",'2024_2026'!$F$2:$F$976,0)))),"")</f>
        <v>0.30493482309124814</v>
      </c>
      <c r="M24" s="306">
        <f>IFERROR(MAX(0,MIN(1,(AVERAGEIFS('2024_2026'!$Z$2:$Z$976,'2024_2026'!$B$2:$B$976,"L2",'2024_2026'!$F$2:$F$976,21)-AVERAGEIFS('2024_2026'!$Z$2:$Z$976,'2024_2026'!$B$2:$B$976,"L2",'2024_2026'!$F$2:$F$976,0))/($C24-AVERAGEIFS('2024_2026'!$Z$2:$Z$976,'2024_2026'!$B$2:$B$976,"L2",'2024_2026'!$F$2:$F$976,0)))),"")</f>
        <v>0.55353817504655467</v>
      </c>
      <c r="N24" s="306">
        <f>IFERROR(MAX(0,MIN(1,(AVERAGEIFS('2024_2026'!$Z$2:$Z$976,'2024_2026'!$B$2:$B$976,"L3",'2024_2026'!$F$2:$F$976,0)-AVERAGEIFS('2024_2026'!$Z$2:$Z$976,'2024_2026'!$B$2:$B$976,"L3",'2024_2026'!$F$2:$F$976,0))/($C24-AVERAGEIFS('2024_2026'!$Z$2:$Z$976,'2024_2026'!$B$2:$B$976,"L3",'2024_2026'!$F$2:$F$976,0)))),"")</f>
        <v>0</v>
      </c>
      <c r="O24" s="306">
        <f>IFERROR(MAX(0,MIN(1,(AVERAGEIFS('2024_2026'!$Z$2:$Z$976,'2024_2026'!$B$2:$B$976,"L3",'2024_2026'!$F$2:$F$976,4)-AVERAGEIFS('2024_2026'!$Z$2:$Z$976,'2024_2026'!$B$2:$B$976,"L3",'2024_2026'!$F$2:$F$976,0))/($C24-AVERAGEIFS('2024_2026'!$Z$2:$Z$976,'2024_2026'!$B$2:$B$976,"L3",'2024_2026'!$F$2:$F$976,0)))),"")</f>
        <v>0.11387948544346672</v>
      </c>
      <c r="P24" s="306">
        <f>IFERROR(MAX(0,MIN(1,(AVERAGEIFS('2024_2026'!$Z$2:$Z$976,'2024_2026'!$B$2:$B$976,"L3",'2024_2026'!$F$2:$F$976,8)-AVERAGEIFS('2024_2026'!$Z$2:$Z$976,'2024_2026'!$B$2:$B$976,"L3",'2024_2026'!$F$2:$F$976,0))/($C24-AVERAGEIFS('2024_2026'!$Z$2:$Z$976,'2024_2026'!$B$2:$B$976,"L3",'2024_2026'!$F$2:$F$976,0)))),"")</f>
        <v>0.23588354773188941</v>
      </c>
      <c r="Q24" s="306">
        <f>IFERROR(MAX(0,MIN(1,(AVERAGEIFS('2024_2026'!$Z$2:$Z$976,'2024_2026'!$B$2:$B$976,"L3",'2024_2026'!$F$2:$F$976,12)-AVERAGEIFS('2024_2026'!$Z$2:$Z$976,'2024_2026'!$B$2:$B$976,"L3",'2024_2026'!$F$2:$F$976,0))/($C24-AVERAGEIFS('2024_2026'!$Z$2:$Z$976,'2024_2026'!$B$2:$B$976,"L3",'2024_2026'!$F$2:$F$976,0)))),"")</f>
        <v>0.35328368314150316</v>
      </c>
      <c r="R24" s="306">
        <f>IFERROR(MAX(0,MIN(1,(AVERAGEIFS('2024_2026'!$Z$2:$Z$976,'2024_2026'!$B$2:$B$976,"L3",'2024_2026'!$F$2:$F$976,21)-AVERAGEIFS('2024_2026'!$Z$2:$Z$976,'2024_2026'!$B$2:$B$976,"L3",'2024_2026'!$F$2:$F$976,0))/($C24-AVERAGEIFS('2024_2026'!$Z$2:$Z$976,'2024_2026'!$B$2:$B$976,"L3",'2024_2026'!$F$2:$F$976,0)))),"")</f>
        <v>0.62125930941096819</v>
      </c>
      <c r="S24" s="306">
        <f>IFERROR(MAX(0,MIN(1,(AVERAGEIFS('2024_2026'!$Z$2:$Z$976,'2024_2026'!$B$2:$B$976,"S",'2024_2026'!$F$2:$F$976,0)-AVERAGEIFS('2024_2026'!$Z$2:$Z$976,'2024_2026'!$B$2:$B$976,"S",'2024_2026'!$F$2:$F$976,0))/($C24-AVERAGEIFS('2024_2026'!$Z$2:$Z$976,'2024_2026'!$B$2:$B$976,"S",'2024_2026'!$F$2:$F$976,0)))),"")</f>
        <v>0</v>
      </c>
      <c r="T24" s="306">
        <f>IFERROR(MAX(0,MIN(1,(AVERAGEIFS('2024_2026'!$Z$2:$Z$976,'2024_2026'!$B$2:$B$976,"S",'2024_2026'!$F$2:$F$976,4)-AVERAGEIFS('2024_2026'!$Z$2:$Z$976,'2024_2026'!$B$2:$B$976,"S",'2024_2026'!$F$2:$F$976,0))/($C24-AVERAGEIFS('2024_2026'!$Z$2:$Z$976,'2024_2026'!$B$2:$B$976,"S",'2024_2026'!$F$2:$F$976,0)))),"")</f>
        <v>4.985090603257171E-2</v>
      </c>
      <c r="U24" s="306">
        <f>IFERROR(MAX(0,MIN(1,(AVERAGEIFS('2024_2026'!$Z$2:$Z$976,'2024_2026'!$B$2:$B$976,"S",'2024_2026'!$F$2:$F$976,8)-AVERAGEIFS('2024_2026'!$Z$2:$Z$976,'2024_2026'!$B$2:$B$976,"S",'2024_2026'!$F$2:$F$976,0))/($C24-AVERAGEIFS('2024_2026'!$Z$2:$Z$976,'2024_2026'!$B$2:$B$976,"S",'2024_2026'!$F$2:$F$976,0)))),"")</f>
        <v>0.10910620077987623</v>
      </c>
      <c r="V24" s="306">
        <f>IFERROR(MAX(0,MIN(1,(AVERAGEIFS('2024_2026'!$Z$2:$Z$976,'2024_2026'!$B$2:$B$976,"S",'2024_2026'!$F$2:$F$976,12)-AVERAGEIFS('2024_2026'!$Z$2:$Z$976,'2024_2026'!$B$2:$B$976,"S",'2024_2026'!$F$2:$F$976,0))/($C24-AVERAGEIFS('2024_2026'!$Z$2:$Z$976,'2024_2026'!$B$2:$B$976,"S",'2024_2026'!$F$2:$F$976,0)))),"")</f>
        <v>0.15735147947090738</v>
      </c>
      <c r="W24" s="306">
        <f>IFERROR(MAX(0,MIN(1,(AVERAGEIFS('2024_2026'!$Z$2:$Z$976,'2024_2026'!$B$2:$B$976,"S",'2024_2026'!$F$2:$F$976,21)-AVERAGEIFS('2024_2026'!$Z$2:$Z$976,'2024_2026'!$B$2:$B$976,"S",'2024_2026'!$F$2:$F$976,0))/($C24-AVERAGEIFS('2024_2026'!$Z$2:$Z$976,'2024_2026'!$B$2:$B$976,"S",'2024_2026'!$F$2:$F$976,0)))),"")</f>
        <v>0.27456227540331785</v>
      </c>
    </row>
    <row r="25" spans="1:23" ht="16.5" customHeight="1" x14ac:dyDescent="0.25">
      <c r="A25" s="274" t="s">
        <v>560</v>
      </c>
      <c r="B25" s="72" t="s">
        <v>5024</v>
      </c>
      <c r="C25" s="305">
        <v>7.5</v>
      </c>
      <c r="D25" s="306">
        <f>IFERROR(MAX(0,MIN(1,(AVERAGEIFS('2024_2026'!$AA$2:$AA$976,'2024_2026'!$B$2:$B$976,"L1",'2024_2026'!$F$2:$F$976,0)-AVERAGEIFS('2024_2026'!$AA$2:$AA$976,'2024_2026'!$B$2:$B$976,"L1",'2024_2026'!$F$2:$F$976,0))/($C25-AVERAGEIFS('2024_2026'!$AA$2:$AA$976,'2024_2026'!$B$2:$B$976,"L1",'2024_2026'!$F$2:$F$976,0)))),"")</f>
        <v>0</v>
      </c>
      <c r="E25" s="306">
        <f>IFERROR(MAX(0,MIN(1,(AVERAGEIFS('2024_2026'!$AA$2:$AA$976,'2024_2026'!$B$2:$B$976,"L1",'2024_2026'!$F$2:$F$976,4)-AVERAGEIFS('2024_2026'!$AA$2:$AA$976,'2024_2026'!$B$2:$B$976,"L1",'2024_2026'!$F$2:$F$976,0))/($C25-AVERAGEIFS('2024_2026'!$AA$2:$AA$976,'2024_2026'!$B$2:$B$976,"L1",'2024_2026'!$F$2:$F$976,0)))),"")</f>
        <v>4.9671977507028613E-2</v>
      </c>
      <c r="F25" s="306">
        <f>IFERROR(MAX(0,MIN(1,(AVERAGEIFS('2024_2026'!$AA$2:$AA$976,'2024_2026'!$B$2:$B$976,"L1",'2024_2026'!$F$2:$F$976,8)-AVERAGEIFS('2024_2026'!$AA$2:$AA$976,'2024_2026'!$B$2:$B$976,"L1",'2024_2026'!$F$2:$F$976,0))/($C25-AVERAGEIFS('2024_2026'!$AA$2:$AA$976,'2024_2026'!$B$2:$B$976,"L1",'2024_2026'!$F$2:$F$976,0)))),"")</f>
        <v>0.1196501093408314</v>
      </c>
      <c r="G25" s="306">
        <f>IFERROR(MAX(0,MIN(1,(AVERAGEIFS('2024_2026'!$AA$2:$AA$976,'2024_2026'!$B$2:$B$976,"L1",'2024_2026'!$F$2:$F$976,12)-AVERAGEIFS('2024_2026'!$AA$2:$AA$976,'2024_2026'!$B$2:$B$976,"L1",'2024_2026'!$F$2:$F$976,0))/($C25-AVERAGEIFS('2024_2026'!$AA$2:$AA$976,'2024_2026'!$B$2:$B$976,"L1",'2024_2026'!$F$2:$F$976,0)))),"")</f>
        <v>0.19171092366968626</v>
      </c>
      <c r="H25" s="306">
        <f>IFERROR(MAX(0,MIN(1,(AVERAGEIFS('2024_2026'!$AA$2:$AA$976,'2024_2026'!$B$2:$B$976,"L1",'2024_2026'!$F$2:$F$976,21)-AVERAGEIFS('2024_2026'!$AA$2:$AA$976,'2024_2026'!$B$2:$B$976,"L1",'2024_2026'!$F$2:$F$976,0))/($C25-AVERAGEIFS('2024_2026'!$AA$2:$AA$976,'2024_2026'!$B$2:$B$976,"L1",'2024_2026'!$F$2:$F$976,0)))),"")</f>
        <v>0.30292616890555052</v>
      </c>
      <c r="I25" s="306">
        <f>IFERROR(MAX(0,MIN(1,(AVERAGEIFS('2024_2026'!$AA$2:$AA$976,'2024_2026'!$B$2:$B$976,"L2",'2024_2026'!$F$2:$F$976,0)-AVERAGEIFS('2024_2026'!$AA$2:$AA$976,'2024_2026'!$B$2:$B$976,"L2",'2024_2026'!$F$2:$F$976,0))/($C25-AVERAGEIFS('2024_2026'!$AA$2:$AA$976,'2024_2026'!$B$2:$B$976,"L2",'2024_2026'!$F$2:$F$976,0)))),"")</f>
        <v>0</v>
      </c>
      <c r="J25" s="306">
        <f>IFERROR(MAX(0,MIN(1,(AVERAGEIFS('2024_2026'!$AA$2:$AA$976,'2024_2026'!$B$2:$B$976,"L2",'2024_2026'!$F$2:$F$976,4)-AVERAGEIFS('2024_2026'!$AA$2:$AA$976,'2024_2026'!$B$2:$B$976,"L2",'2024_2026'!$F$2:$F$976,0))/($C25-AVERAGEIFS('2024_2026'!$AA$2:$AA$976,'2024_2026'!$B$2:$B$976,"L2",'2024_2026'!$F$2:$F$976,0)))),"")</f>
        <v>9.2709270927092788E-2</v>
      </c>
      <c r="K25" s="306">
        <f>IFERROR(MAX(0,MIN(1,(AVERAGEIFS('2024_2026'!$AA$2:$AA$976,'2024_2026'!$B$2:$B$976,"L2",'2024_2026'!$F$2:$F$976,8)-AVERAGEIFS('2024_2026'!$AA$2:$AA$976,'2024_2026'!$B$2:$B$976,"L2",'2024_2026'!$F$2:$F$976,0))/($C25-AVERAGEIFS('2024_2026'!$AA$2:$AA$976,'2024_2026'!$B$2:$B$976,"L2",'2024_2026'!$F$2:$F$976,0)))),"")</f>
        <v>0.22160216021602153</v>
      </c>
      <c r="L25" s="306">
        <f>IFERROR(MAX(0,MIN(1,(AVERAGEIFS('2024_2026'!$AA$2:$AA$976,'2024_2026'!$B$2:$B$976,"L2",'2024_2026'!$F$2:$F$976,12)-AVERAGEIFS('2024_2026'!$AA$2:$AA$976,'2024_2026'!$B$2:$B$976,"L2",'2024_2026'!$F$2:$F$976,0))/($C25-AVERAGEIFS('2024_2026'!$AA$2:$AA$976,'2024_2026'!$B$2:$B$976,"L2",'2024_2026'!$F$2:$F$976,0)))),"")</f>
        <v>0.31359135913591324</v>
      </c>
      <c r="M25" s="306">
        <f>IFERROR(MAX(0,MIN(1,(AVERAGEIFS('2024_2026'!$AA$2:$AA$976,'2024_2026'!$B$2:$B$976,"L2",'2024_2026'!$F$2:$F$976,21)-AVERAGEIFS('2024_2026'!$AA$2:$AA$976,'2024_2026'!$B$2:$B$976,"L2",'2024_2026'!$F$2:$F$976,0))/($C25-AVERAGEIFS('2024_2026'!$AA$2:$AA$976,'2024_2026'!$B$2:$B$976,"L2",'2024_2026'!$F$2:$F$976,0)))),"")</f>
        <v>0.48019801980198096</v>
      </c>
      <c r="N25" s="306">
        <f>IFERROR(MAX(0,MIN(1,(AVERAGEIFS('2024_2026'!$AA$2:$AA$976,'2024_2026'!$B$2:$B$976,"L3",'2024_2026'!$F$2:$F$976,0)-AVERAGEIFS('2024_2026'!$AA$2:$AA$976,'2024_2026'!$B$2:$B$976,"L3",'2024_2026'!$F$2:$F$976,0))/($C25-AVERAGEIFS('2024_2026'!$AA$2:$AA$976,'2024_2026'!$B$2:$B$976,"L3",'2024_2026'!$F$2:$F$976,0)))),"")</f>
        <v>0</v>
      </c>
      <c r="O25" s="306">
        <f>IFERROR(MAX(0,MIN(1,(AVERAGEIFS('2024_2026'!$AA$2:$AA$976,'2024_2026'!$B$2:$B$976,"L3",'2024_2026'!$F$2:$F$976,4)-AVERAGEIFS('2024_2026'!$AA$2:$AA$976,'2024_2026'!$B$2:$B$976,"L3",'2024_2026'!$F$2:$F$976,0))/($C25-AVERAGEIFS('2024_2026'!$AA$2:$AA$976,'2024_2026'!$B$2:$B$976,"L3",'2024_2026'!$F$2:$F$976,0)))),"")</f>
        <v>0.11177439275422026</v>
      </c>
      <c r="P25" s="306">
        <f>IFERROR(MAX(0,MIN(1,(AVERAGEIFS('2024_2026'!$AA$2:$AA$976,'2024_2026'!$B$2:$B$976,"L3",'2024_2026'!$F$2:$F$976,8)-AVERAGEIFS('2024_2026'!$AA$2:$AA$976,'2024_2026'!$B$2:$B$976,"L3",'2024_2026'!$F$2:$F$976,0))/($C25-AVERAGEIFS('2024_2026'!$AA$2:$AA$976,'2024_2026'!$B$2:$B$976,"L3",'2024_2026'!$F$2:$F$976,0)))),"")</f>
        <v>0.17764512144915517</v>
      </c>
      <c r="Q25" s="306">
        <f>IFERROR(MAX(0,MIN(1,(AVERAGEIFS('2024_2026'!$AA$2:$AA$976,'2024_2026'!$B$2:$B$976,"L3",'2024_2026'!$F$2:$F$976,12)-AVERAGEIFS('2024_2026'!$AA$2:$AA$976,'2024_2026'!$B$2:$B$976,"L3",'2024_2026'!$F$2:$F$976,0))/($C25-AVERAGEIFS('2024_2026'!$AA$2:$AA$976,'2024_2026'!$B$2:$B$976,"L3",'2024_2026'!$F$2:$F$976,0)))),"")</f>
        <v>0.30979827089337109</v>
      </c>
      <c r="R25" s="306">
        <f>IFERROR(MAX(0,MIN(1,(AVERAGEIFS('2024_2026'!$AA$2:$AA$976,'2024_2026'!$B$2:$B$976,"L3",'2024_2026'!$F$2:$F$976,21)-AVERAGEIFS('2024_2026'!$AA$2:$AA$976,'2024_2026'!$B$2:$B$976,"L3",'2024_2026'!$F$2:$F$976,0))/($C25-AVERAGEIFS('2024_2026'!$AA$2:$AA$976,'2024_2026'!$B$2:$B$976,"L3",'2024_2026'!$F$2:$F$976,0)))),"")</f>
        <v>0.53386167146974051</v>
      </c>
      <c r="S25" s="306">
        <f>IFERROR(MAX(0,MIN(1,(AVERAGEIFS('2024_2026'!$AA$2:$AA$976,'2024_2026'!$B$2:$B$976,"S",'2024_2026'!$F$2:$F$976,0)-AVERAGEIFS('2024_2026'!$AA$2:$AA$976,'2024_2026'!$B$2:$B$976,"S",'2024_2026'!$F$2:$F$976,0))/($C25-AVERAGEIFS('2024_2026'!$AA$2:$AA$976,'2024_2026'!$B$2:$B$976,"S",'2024_2026'!$F$2:$F$976,0)))),"")</f>
        <v>0</v>
      </c>
      <c r="T25" s="306">
        <f>IFERROR(MAX(0,MIN(1,(AVERAGEIFS('2024_2026'!$AA$2:$AA$976,'2024_2026'!$B$2:$B$976,"S",'2024_2026'!$F$2:$F$976,4)-AVERAGEIFS('2024_2026'!$AA$2:$AA$976,'2024_2026'!$B$2:$B$976,"S",'2024_2026'!$F$2:$F$976,0))/($C25-AVERAGEIFS('2024_2026'!$AA$2:$AA$976,'2024_2026'!$B$2:$B$976,"S",'2024_2026'!$F$2:$F$976,0)))),"")</f>
        <v>2.1475557848574141E-2</v>
      </c>
      <c r="U25" s="306">
        <f>IFERROR(MAX(0,MIN(1,(AVERAGEIFS('2024_2026'!$AA$2:$AA$976,'2024_2026'!$B$2:$B$976,"S",'2024_2026'!$F$2:$F$976,8)-AVERAGEIFS('2024_2026'!$AA$2:$AA$976,'2024_2026'!$B$2:$B$976,"S",'2024_2026'!$F$2:$F$976,0))/($C25-AVERAGEIFS('2024_2026'!$AA$2:$AA$976,'2024_2026'!$B$2:$B$976,"S",'2024_2026'!$F$2:$F$976,0)))),"")</f>
        <v>7.7260415323100809E-2</v>
      </c>
      <c r="V25" s="306">
        <f>IFERROR(MAX(0,MIN(1,(AVERAGEIFS('2024_2026'!$AA$2:$AA$976,'2024_2026'!$B$2:$B$976,"S",'2024_2026'!$F$2:$F$976,12)-AVERAGEIFS('2024_2026'!$AA$2:$AA$976,'2024_2026'!$B$2:$B$976,"S",'2024_2026'!$F$2:$F$976,0))/($C25-AVERAGEIFS('2024_2026'!$AA$2:$AA$976,'2024_2026'!$B$2:$B$976,"S",'2024_2026'!$F$2:$F$976,0)))),"")</f>
        <v>0.13504449890364947</v>
      </c>
      <c r="W25" s="306">
        <f>IFERROR(MAX(0,MIN(1,(AVERAGEIFS('2024_2026'!$AA$2:$AA$976,'2024_2026'!$B$2:$B$976,"S",'2024_2026'!$F$2:$F$976,21)-AVERAGEIFS('2024_2026'!$AA$2:$AA$976,'2024_2026'!$B$2:$B$976,"S",'2024_2026'!$F$2:$F$976,0))/($C25-AVERAGEIFS('2024_2026'!$AA$2:$AA$976,'2024_2026'!$B$2:$B$976,"S",'2024_2026'!$F$2:$F$976,0)))),"")</f>
        <v>0.23687604798142828</v>
      </c>
    </row>
    <row r="27" spans="1:23" ht="15" customHeight="1" x14ac:dyDescent="0.25">
      <c r="A27" s="357" t="s">
        <v>5025</v>
      </c>
      <c r="B27" s="357"/>
      <c r="C27" s="357"/>
      <c r="D27" s="357"/>
      <c r="E27" s="357"/>
      <c r="F27" s="357"/>
      <c r="G27" s="357"/>
      <c r="H27" s="357"/>
      <c r="I27" s="357"/>
      <c r="J27" s="357"/>
      <c r="K27" s="357"/>
      <c r="L27" s="357"/>
    </row>
    <row r="28" spans="1:23" ht="25.5" customHeight="1" x14ac:dyDescent="0.25">
      <c r="A28" s="16" t="s">
        <v>833</v>
      </c>
      <c r="B28" s="16" t="s">
        <v>4931</v>
      </c>
      <c r="C28" s="16" t="s">
        <v>5026</v>
      </c>
      <c r="D28" s="16" t="s">
        <v>5027</v>
      </c>
      <c r="E28" s="16" t="s">
        <v>5028</v>
      </c>
      <c r="F28" s="16" t="s">
        <v>5029</v>
      </c>
      <c r="G28" s="16" t="s">
        <v>5030</v>
      </c>
      <c r="H28" s="16" t="s">
        <v>4975</v>
      </c>
    </row>
    <row r="29" spans="1:23" ht="16.5" customHeight="1" x14ac:dyDescent="0.25">
      <c r="A29" s="307" t="s">
        <v>269</v>
      </c>
      <c r="B29" s="120" t="s">
        <v>923</v>
      </c>
      <c r="C29" s="308">
        <f>IFERROR((0.2*D6+0.1*D10+0.2*D11+0.15*D12+0.1*D13+0.1*D14+0.1*D15+0.05*D16)/1,"")</f>
        <v>0</v>
      </c>
      <c r="D29" s="308">
        <f>IFERROR((0.2*E6+0.1*E10+0.2*E11+0.15*E12+0.1*E13+0.1*E14+0.1*E15+0.05*E16)/1,"")</f>
        <v>8.277659311579659E-2</v>
      </c>
      <c r="E29" s="308">
        <f>IFERROR((0.2*F6+0.1*F10+0.2*F11+0.15*F12+0.1*F13+0.1*F14+0.1*F15+0.05*F16)/1,"")</f>
        <v>0.16598507248954333</v>
      </c>
      <c r="F29" s="308">
        <f>IFERROR((0.2*G6+0.1*G10+0.2*G11+0.15*G12+0.1*G13+0.1*G14+0.1*G15+0.05*G16)/1,"")</f>
        <v>0.2368985393648218</v>
      </c>
      <c r="G29" s="308">
        <f>IFERROR((0.2*H6+0.1*H10+0.2*H11+0.15*H12+0.1*H13+0.1*H14+0.1*H15+0.05*H16)/1,"")</f>
        <v>0.4219542028410283</v>
      </c>
      <c r="H29" s="309">
        <f t="shared" ref="H29:H48" si="0">IFERROR(($G29-$C29)/(1-$C29),"")</f>
        <v>0.4219542028410283</v>
      </c>
    </row>
    <row r="30" spans="1:23" ht="16.5" customHeight="1" x14ac:dyDescent="0.25">
      <c r="A30" s="307" t="s">
        <v>269</v>
      </c>
      <c r="B30" s="120" t="s">
        <v>924</v>
      </c>
      <c r="C30" s="308">
        <f>IFERROR((0.2*I6+0.1*I10+0.2*I11+0.15*I12+0.1*I13+0.1*I14+0.1*I15+0.05*I16)/1,"")</f>
        <v>0</v>
      </c>
      <c r="D30" s="308">
        <f>IFERROR((0.2*J6+0.1*J10+0.2*J11+0.15*J12+0.1*J13+0.1*J14+0.1*J15+0.05*J16)/1,"")</f>
        <v>0.1233960929761055</v>
      </c>
      <c r="E30" s="308">
        <f>IFERROR((0.2*K6+0.1*K10+0.2*K11+0.15*K12+0.1*K13+0.1*K14+0.1*K15+0.05*K16)/1,"")</f>
        <v>0.26107560836539845</v>
      </c>
      <c r="F30" s="308">
        <f>IFERROR((0.2*L6+0.1*L10+0.2*L11+0.15*L12+0.1*L13+0.1*L14+0.1*L15+0.05*L16)/1,"")</f>
        <v>0.38150557558524945</v>
      </c>
      <c r="G30" s="308">
        <f>IFERROR((0.2*M6+0.1*M10+0.2*M11+0.15*M12+0.1*M13+0.1*M14+0.1*M15+0.05*M16)/1,"")</f>
        <v>0.66632841936681353</v>
      </c>
      <c r="H30" s="309">
        <f t="shared" si="0"/>
        <v>0.66632841936681353</v>
      </c>
    </row>
    <row r="31" spans="1:23" ht="16.5" customHeight="1" x14ac:dyDescent="0.25">
      <c r="A31" s="307" t="s">
        <v>269</v>
      </c>
      <c r="B31" s="120" t="s">
        <v>925</v>
      </c>
      <c r="C31" s="308">
        <f>IFERROR((0.2*N6+0.1*N10+0.2*N11+0.15*N12+0.1*N13+0.1*N14+0.1*N15+0.05*N16)/1,"")</f>
        <v>0</v>
      </c>
      <c r="D31" s="308">
        <f>IFERROR((0.2*O6+0.1*O10+0.2*O11+0.15*O12+0.1*O13+0.1*O14+0.1*O15+0.05*O16)/1,"")</f>
        <v>0.1309719236631911</v>
      </c>
      <c r="E31" s="308">
        <f>IFERROR((0.2*P6+0.1*P10+0.2*P11+0.15*P12+0.1*P13+0.1*P14+0.1*P15+0.05*P16)/1,"")</f>
        <v>0.26453378434151203</v>
      </c>
      <c r="F31" s="308">
        <f>IFERROR((0.2*Q6+0.1*Q10+0.2*Q11+0.15*Q12+0.1*Q13+0.1*Q14+0.1*Q15+0.05*Q16)/1,"")</f>
        <v>0.38742824959305999</v>
      </c>
      <c r="G31" s="308">
        <f>IFERROR((0.2*R6+0.1*R10+0.2*R11+0.15*R12+0.1*R13+0.1*R14+0.1*R15+0.05*R16)/1,"")</f>
        <v>0.68493144729513944</v>
      </c>
      <c r="H31" s="309">
        <f t="shared" si="0"/>
        <v>0.68493144729513944</v>
      </c>
    </row>
    <row r="32" spans="1:23" ht="16.5" customHeight="1" x14ac:dyDescent="0.25">
      <c r="A32" s="307" t="s">
        <v>269</v>
      </c>
      <c r="B32" s="120" t="s">
        <v>926</v>
      </c>
      <c r="C32" s="308">
        <f>IFERROR((0.2*S6+0.1*S10+0.2*S11+0.15*S12+0.1*S13+0.1*S14+0.1*S15+0.05*S16)/1,"")</f>
        <v>0</v>
      </c>
      <c r="D32" s="308">
        <f>IFERROR((0.2*T6+0.1*T10+0.2*T11+0.15*T12+0.1*T13+0.1*T14+0.1*T15+0.05*T16)/1,"")</f>
        <v>6.1959578377432281E-2</v>
      </c>
      <c r="E32" s="308">
        <f>IFERROR((0.2*U6+0.1*U10+0.2*U11+0.15*U12+0.1*U13+0.1*U14+0.1*U15+0.05*U16)/1,"")</f>
        <v>0.12246634930162892</v>
      </c>
      <c r="F32" s="308">
        <f>IFERROR((0.2*V6+0.1*V10+0.2*V11+0.15*V12+0.1*V13+0.1*V14+0.1*V15+0.05*V16)/1,"")</f>
        <v>0.17792470321768189</v>
      </c>
      <c r="G32" s="308">
        <f>IFERROR((0.2*W6+0.1*W10+0.2*W11+0.15*W12+0.1*W13+0.1*W14+0.1*W15+0.05*W16)/1,"")</f>
        <v>0.31019512417835488</v>
      </c>
      <c r="H32" s="309">
        <f t="shared" si="0"/>
        <v>0.31019512417835488</v>
      </c>
    </row>
    <row r="33" spans="1:8" ht="16.5" customHeight="1" x14ac:dyDescent="0.25">
      <c r="A33" s="310" t="s">
        <v>272</v>
      </c>
      <c r="B33" s="28" t="s">
        <v>923</v>
      </c>
      <c r="C33" s="311">
        <f>IFERROR((0.2*D7+0.15*D17+0.15*D18+0.1*D8+0.1*D9+0.15*D19+0.15*D20+0.1*D21)/1.1,"")</f>
        <v>0</v>
      </c>
      <c r="D33" s="311">
        <f>IFERROR((0.2*E7+0.15*E17+0.15*E18+0.1*E8+0.1*E9+0.15*E19+0.15*E20+0.1*E21)/1.1,"")</f>
        <v>7.6007175884574632E-2</v>
      </c>
      <c r="E33" s="311">
        <f>IFERROR((0.2*F7+0.15*F17+0.15*F18+0.1*F8+0.1*F9+0.15*F19+0.15*F20+0.1*F21)/1.1,"")</f>
        <v>0.14061786245908037</v>
      </c>
      <c r="F33" s="311">
        <f>IFERROR((0.2*G7+0.15*G17+0.15*G18+0.1*G8+0.1*G9+0.15*G19+0.15*G20+0.1*G21)/1.1,"")</f>
        <v>0.21746566910254372</v>
      </c>
      <c r="G33" s="311">
        <f>IFERROR((0.2*H7+0.15*H17+0.15*H18+0.1*H8+0.1*H9+0.15*H19+0.15*H20+0.1*H21)/1.1,"")</f>
        <v>0.38232620940385387</v>
      </c>
      <c r="H33" s="312">
        <f t="shared" si="0"/>
        <v>0.38232620940385387</v>
      </c>
    </row>
    <row r="34" spans="1:8" ht="16.5" customHeight="1" x14ac:dyDescent="0.25">
      <c r="A34" s="310" t="s">
        <v>272</v>
      </c>
      <c r="B34" s="28" t="s">
        <v>924</v>
      </c>
      <c r="C34" s="311">
        <f>IFERROR((0.2*I7+0.15*I17+0.15*I18+0.1*I8+0.1*I9+0.15*I19+0.15*I20+0.1*I21)/1.1,"")</f>
        <v>0</v>
      </c>
      <c r="D34" s="311">
        <f>IFERROR((0.2*J7+0.15*J17+0.15*J18+0.1*J8+0.1*J9+0.15*J19+0.15*J20+0.1*J21)/1.1,"")</f>
        <v>0.11425691253463387</v>
      </c>
      <c r="E34" s="311">
        <f>IFERROR((0.2*K7+0.15*K17+0.15*K18+0.1*K8+0.1*K9+0.15*K19+0.15*K20+0.1*K21)/1.1,"")</f>
        <v>0.23878802559735612</v>
      </c>
      <c r="F34" s="311">
        <f>IFERROR((0.2*L7+0.15*L17+0.15*L18+0.1*L8+0.1*L9+0.15*L19+0.15*L20+0.1*L21)/1.1,"")</f>
        <v>0.350177337372714</v>
      </c>
      <c r="G34" s="311">
        <f>IFERROR((0.2*M7+0.15*M17+0.15*M18+0.1*M8+0.1*M9+0.15*M19+0.15*M20+0.1*M21)/1.1,"")</f>
        <v>0.62636052132399356</v>
      </c>
      <c r="H34" s="312">
        <f t="shared" si="0"/>
        <v>0.62636052132399356</v>
      </c>
    </row>
    <row r="35" spans="1:8" ht="16.5" customHeight="1" x14ac:dyDescent="0.25">
      <c r="A35" s="310" t="s">
        <v>272</v>
      </c>
      <c r="B35" s="28" t="s">
        <v>925</v>
      </c>
      <c r="C35" s="311">
        <f>IFERROR((0.2*N7+0.15*N17+0.15*N18+0.1*N8+0.1*N9+0.15*N19+0.15*N20+0.1*N21)/1.1,"")</f>
        <v>0</v>
      </c>
      <c r="D35" s="311">
        <f>IFERROR((0.2*O7+0.15*O17+0.15*O18+0.1*O8+0.1*O9+0.15*O19+0.15*O20+0.1*O21)/1.1,"")</f>
        <v>0.12923149508996915</v>
      </c>
      <c r="E35" s="311">
        <f>IFERROR((0.2*P7+0.15*P17+0.15*P18+0.1*P8+0.1*P9+0.15*P19+0.15*P20+0.1*P21)/1.1,"")</f>
        <v>0.25660740944078592</v>
      </c>
      <c r="F35" s="311">
        <f>IFERROR((0.2*Q7+0.15*Q17+0.15*Q18+0.1*Q8+0.1*Q9+0.15*Q19+0.15*Q20+0.1*Q21)/1.1,"")</f>
        <v>0.38321982031431939</v>
      </c>
      <c r="G35" s="311">
        <f>IFERROR((0.2*R7+0.15*R17+0.15*R18+0.1*R8+0.1*R9+0.15*R19+0.15*R20+0.1*R21)/1.1,"")</f>
        <v>0.67210344104511421</v>
      </c>
      <c r="H35" s="312">
        <f t="shared" si="0"/>
        <v>0.67210344104511421</v>
      </c>
    </row>
    <row r="36" spans="1:8" ht="16.5" customHeight="1" x14ac:dyDescent="0.25">
      <c r="A36" s="310" t="s">
        <v>272</v>
      </c>
      <c r="B36" s="28" t="s">
        <v>926</v>
      </c>
      <c r="C36" s="311">
        <f>IFERROR((0.2*S7+0.15*S17+0.15*S18+0.1*S8+0.1*S9+0.15*S19+0.15*S20+0.1*S21)/1.1,"")</f>
        <v>0</v>
      </c>
      <c r="D36" s="311">
        <f>IFERROR((0.2*T7+0.15*T17+0.15*T18+0.1*T8+0.1*T9+0.15*T19+0.15*T20+0.1*T21)/1.1,"")</f>
        <v>4.9258230453999269E-2</v>
      </c>
      <c r="E36" s="311">
        <f>IFERROR((0.2*U7+0.15*U17+0.15*U18+0.1*U8+0.1*U9+0.15*U19+0.15*U20+0.1*U21)/1.1,"")</f>
        <v>9.4263449206834507E-2</v>
      </c>
      <c r="F36" s="311">
        <f>IFERROR((0.2*V7+0.15*V17+0.15*V18+0.1*V8+0.1*V9+0.15*V19+0.15*V20+0.1*V21)/1.1,"")</f>
        <v>0.1537068768169057</v>
      </c>
      <c r="G36" s="311">
        <f>IFERROR((0.2*W7+0.15*W17+0.15*W18+0.1*W8+0.1*W9+0.15*W19+0.15*W20+0.1*W21)/1.1,"")</f>
        <v>0.26449361507355545</v>
      </c>
      <c r="H36" s="312">
        <f t="shared" si="0"/>
        <v>0.26449361507355545</v>
      </c>
    </row>
    <row r="37" spans="1:8" ht="16.5" customHeight="1" x14ac:dyDescent="0.25">
      <c r="A37" s="313" t="s">
        <v>278</v>
      </c>
      <c r="B37" s="142" t="s">
        <v>923</v>
      </c>
      <c r="C37" s="314">
        <f>IFERROR((0.15*D9+0.25*D22+0.15*D23+0.15*D24+0.2*D16+0.1*D25)/1,"")</f>
        <v>0</v>
      </c>
      <c r="D37" s="314">
        <f>IFERROR((0.15*E9+0.25*E22+0.15*E23+0.15*E24+0.2*E16+0.1*E25)/1,"")</f>
        <v>7.7093048410250276E-2</v>
      </c>
      <c r="E37" s="314">
        <f>IFERROR((0.15*F9+0.25*F22+0.15*F23+0.15*F24+0.2*F16+0.1*F25)/1,"")</f>
        <v>0.14908999684365862</v>
      </c>
      <c r="F37" s="314">
        <f>IFERROR((0.15*G9+0.25*G22+0.15*G23+0.15*G24+0.2*G16+0.1*G25)/1,"")</f>
        <v>0.22953320666246968</v>
      </c>
      <c r="G37" s="314">
        <f>IFERROR((0.15*H9+0.25*H22+0.15*H23+0.15*H24+0.2*H16+0.1*H25)/1,"")</f>
        <v>0.39953208559102427</v>
      </c>
      <c r="H37" s="315">
        <f t="shared" si="0"/>
        <v>0.39953208559102427</v>
      </c>
    </row>
    <row r="38" spans="1:8" ht="16.5" customHeight="1" x14ac:dyDescent="0.25">
      <c r="A38" s="313" t="s">
        <v>278</v>
      </c>
      <c r="B38" s="142" t="s">
        <v>924</v>
      </c>
      <c r="C38" s="314">
        <f>IFERROR((0.15*I9+0.25*I22+0.15*I23+0.15*I24+0.2*I16+0.1*I25)/1,"")</f>
        <v>0</v>
      </c>
      <c r="D38" s="314">
        <f>IFERROR((0.15*J9+0.25*J22+0.15*J23+0.15*J24+0.2*J16+0.1*J25)/1,"")</f>
        <v>0.11133941474744791</v>
      </c>
      <c r="E38" s="314">
        <f>IFERROR((0.15*K9+0.25*K22+0.15*K23+0.15*K24+0.2*K16+0.1*K25)/1,"")</f>
        <v>0.24482990038023483</v>
      </c>
      <c r="F38" s="314">
        <f>IFERROR((0.15*L9+0.25*L22+0.15*L23+0.15*L24+0.2*L16+0.1*L25)/1,"")</f>
        <v>0.34710960868921104</v>
      </c>
      <c r="G38" s="314">
        <f>IFERROR((0.15*M9+0.25*M22+0.15*M23+0.15*M24+0.2*M16+0.1*M25)/1,"")</f>
        <v>0.6081167280626727</v>
      </c>
      <c r="H38" s="315">
        <f t="shared" si="0"/>
        <v>0.6081167280626727</v>
      </c>
    </row>
    <row r="39" spans="1:8" ht="16.5" customHeight="1" x14ac:dyDescent="0.25">
      <c r="A39" s="313" t="s">
        <v>278</v>
      </c>
      <c r="B39" s="142" t="s">
        <v>925</v>
      </c>
      <c r="C39" s="314">
        <f>IFERROR((0.15*N9+0.25*N22+0.15*N23+0.15*N24+0.2*N16+0.1*N25)/1,"")</f>
        <v>0</v>
      </c>
      <c r="D39" s="314">
        <f>IFERROR((0.15*O9+0.25*O22+0.15*O23+0.15*O24+0.2*O16+0.1*O25)/1,"")</f>
        <v>0.12149277471226855</v>
      </c>
      <c r="E39" s="314">
        <f>IFERROR((0.15*P9+0.25*P22+0.15*P23+0.15*P24+0.2*P16+0.1*P25)/1,"")</f>
        <v>0.25211537043424892</v>
      </c>
      <c r="F39" s="314">
        <f>IFERROR((0.15*Q9+0.25*Q22+0.15*Q23+0.15*Q24+0.2*Q16+0.1*Q25)/1,"")</f>
        <v>0.37078406714525314</v>
      </c>
      <c r="G39" s="314">
        <f>IFERROR((0.15*R9+0.25*R22+0.15*R23+0.15*R24+0.2*R16+0.1*R25)/1,"")</f>
        <v>0.64664397425793185</v>
      </c>
      <c r="H39" s="315">
        <f t="shared" si="0"/>
        <v>0.64664397425793185</v>
      </c>
    </row>
    <row r="40" spans="1:8" ht="16.5" customHeight="1" x14ac:dyDescent="0.25">
      <c r="A40" s="313" t="s">
        <v>278</v>
      </c>
      <c r="B40" s="142" t="s">
        <v>926</v>
      </c>
      <c r="C40" s="314">
        <f>IFERROR((0.15*S9+0.25*S22+0.15*S23+0.15*S24+0.2*S16+0.1*S25)/1,"")</f>
        <v>0</v>
      </c>
      <c r="D40" s="314">
        <f>IFERROR((0.15*T9+0.25*T22+0.15*T23+0.15*T24+0.2*T16+0.1*T25)/1,"")</f>
        <v>5.0227394548816362E-2</v>
      </c>
      <c r="E40" s="314">
        <f>IFERROR((0.15*U9+0.25*U22+0.15*U23+0.15*U24+0.2*U16+0.1*U25)/1,"")</f>
        <v>0.11058298153349166</v>
      </c>
      <c r="F40" s="314">
        <f>IFERROR((0.15*V9+0.25*V22+0.15*V23+0.15*V24+0.2*V16+0.1*V25)/1,"")</f>
        <v>0.16558675053402735</v>
      </c>
      <c r="G40" s="314">
        <f>IFERROR((0.15*W9+0.25*W22+0.15*W23+0.15*W24+0.2*W16+0.1*W25)/1,"")</f>
        <v>0.28617002524131796</v>
      </c>
      <c r="H40" s="315">
        <f t="shared" si="0"/>
        <v>0.28617002524131796</v>
      </c>
    </row>
    <row r="41" spans="1:8" ht="16.5" customHeight="1" x14ac:dyDescent="0.25">
      <c r="A41" s="316" t="s">
        <v>281</v>
      </c>
      <c r="B41" s="291" t="s">
        <v>923</v>
      </c>
      <c r="C41" s="317">
        <f>IFERROR((0.2*D7+0.15*D17+0.15*D18+0.1*D8+0.15*D9+0.1*D19+0.1*D20+0.05*D21)/1,"")</f>
        <v>0</v>
      </c>
      <c r="D41" s="317">
        <f>IFERROR((0.2*E7+0.15*E17+0.15*E18+0.1*E8+0.15*E9+0.1*E19+0.1*E20+0.05*E21)/1,"")</f>
        <v>7.679114565341752E-2</v>
      </c>
      <c r="E41" s="317">
        <f>IFERROR((0.2*F7+0.15*F17+0.15*F18+0.1*F8+0.15*F9+0.1*F19+0.1*F20+0.05*F21)/1,"")</f>
        <v>0.14410512269487966</v>
      </c>
      <c r="F41" s="317">
        <f>IFERROR((0.2*G7+0.15*G17+0.15*G18+0.1*G8+0.15*G9+0.1*G19+0.1*G20+0.05*G21)/1,"")</f>
        <v>0.22167107087527549</v>
      </c>
      <c r="G41" s="317">
        <f>IFERROR((0.2*H7+0.15*H17+0.15*H18+0.1*H8+0.15*H9+0.1*H19+0.1*H20+0.05*H21)/1,"")</f>
        <v>0.39356317884799152</v>
      </c>
      <c r="H41" s="318">
        <f t="shared" si="0"/>
        <v>0.39356317884799152</v>
      </c>
    </row>
    <row r="42" spans="1:8" ht="16.5" customHeight="1" x14ac:dyDescent="0.25">
      <c r="A42" s="316" t="s">
        <v>281</v>
      </c>
      <c r="B42" s="291" t="s">
        <v>924</v>
      </c>
      <c r="C42" s="317">
        <f>IFERROR((0.2*I7+0.15*I17+0.15*I18+0.1*I8+0.15*I9+0.1*I19+0.1*I20+0.05*I21)/1,"")</f>
        <v>0</v>
      </c>
      <c r="D42" s="317">
        <f>IFERROR((0.2*J7+0.15*J17+0.15*J18+0.1*J8+0.15*J9+0.1*J19+0.1*J20+0.05*J21)/1,"")</f>
        <v>0.11865721188797482</v>
      </c>
      <c r="E42" s="317">
        <f>IFERROR((0.2*K7+0.15*K17+0.15*K18+0.1*K8+0.15*K9+0.1*K19+0.1*K20+0.05*K21)/1,"")</f>
        <v>0.24525669584925355</v>
      </c>
      <c r="F42" s="317">
        <f>IFERROR((0.2*L7+0.15*L17+0.15*L18+0.1*L8+0.15*L9+0.1*L19+0.1*L20+0.05*L21)/1,"")</f>
        <v>0.36006406864396423</v>
      </c>
      <c r="G42" s="317">
        <f>IFERROR((0.2*M7+0.15*M17+0.15*M18+0.1*M8+0.15*M9+0.1*M19+0.1*M20+0.05*M21)/1,"")</f>
        <v>0.64506998209602917</v>
      </c>
      <c r="H42" s="318">
        <f t="shared" si="0"/>
        <v>0.64506998209602917</v>
      </c>
    </row>
    <row r="43" spans="1:8" ht="16.5" customHeight="1" x14ac:dyDescent="0.25">
      <c r="A43" s="316" t="s">
        <v>281</v>
      </c>
      <c r="B43" s="291" t="s">
        <v>925</v>
      </c>
      <c r="C43" s="317">
        <f>IFERROR((0.2*N7+0.15*N17+0.15*N18+0.1*N8+0.15*N9+0.1*N19+0.1*N20+0.05*N21)/1,"")</f>
        <v>0</v>
      </c>
      <c r="D43" s="317">
        <f>IFERROR((0.2*O7+0.15*O17+0.15*O18+0.1*O8+0.15*O9+0.1*O19+0.1*O20+0.05*O21)/1,"")</f>
        <v>0.13472920595705137</v>
      </c>
      <c r="E43" s="317">
        <f>IFERROR((0.2*P7+0.15*P17+0.15*P18+0.1*P8+0.15*P9+0.1*P19+0.1*P20+0.05*P21)/1,"")</f>
        <v>0.26735503035518904</v>
      </c>
      <c r="F43" s="317">
        <f>IFERROR((0.2*Q7+0.15*Q17+0.15*Q18+0.1*Q8+0.15*Q9+0.1*Q19+0.1*Q20+0.05*Q21)/1,"")</f>
        <v>0.39614722619618165</v>
      </c>
      <c r="G43" s="317">
        <f>IFERROR((0.2*R7+0.15*R17+0.15*R18+0.1*R8+0.15*R9+0.1*R19+0.1*R20+0.05*R21)/1,"")</f>
        <v>0.69526552826521593</v>
      </c>
      <c r="H43" s="318">
        <f t="shared" si="0"/>
        <v>0.69526552826521593</v>
      </c>
    </row>
    <row r="44" spans="1:8" ht="16.5" customHeight="1" x14ac:dyDescent="0.25">
      <c r="A44" s="316" t="s">
        <v>281</v>
      </c>
      <c r="B44" s="291" t="s">
        <v>926</v>
      </c>
      <c r="C44" s="317">
        <f>IFERROR((0.2*S7+0.15*S17+0.15*S18+0.1*S8+0.15*S9+0.1*S19+0.1*S20+0.05*S21)/1,"")</f>
        <v>0</v>
      </c>
      <c r="D44" s="317">
        <f>IFERROR((0.2*T7+0.15*T17+0.15*T18+0.1*T8+0.15*T9+0.1*T19+0.1*T20+0.05*T21)/1,"")</f>
        <v>4.9597013502596543E-2</v>
      </c>
      <c r="E44" s="317">
        <f>IFERROR((0.2*U7+0.15*U17+0.15*U18+0.1*U8+0.15*U9+0.1*U19+0.1*U20+0.05*U21)/1,"")</f>
        <v>9.5679111942205713E-2</v>
      </c>
      <c r="F44" s="317">
        <f>IFERROR((0.2*V7+0.15*V17+0.15*V18+0.1*V8+0.15*V9+0.1*V19+0.1*V20+0.05*V21)/1,"")</f>
        <v>0.15642492255499443</v>
      </c>
      <c r="G44" s="317">
        <f>IFERROR((0.2*W7+0.15*W17+0.15*W18+0.1*W8+0.15*W9+0.1*W19+0.1*W20+0.05*W21)/1,"")</f>
        <v>0.26900269767009338</v>
      </c>
      <c r="H44" s="318">
        <f t="shared" si="0"/>
        <v>0.26900269767009338</v>
      </c>
    </row>
    <row r="45" spans="1:8" ht="16.5" customHeight="1" x14ac:dyDescent="0.25">
      <c r="A45" s="319" t="s">
        <v>148</v>
      </c>
      <c r="B45" s="320" t="s">
        <v>923</v>
      </c>
      <c r="C45" s="321">
        <f>IFERROR(0.3*((0.3*D6+0.2*D10+0.3*D11+0.2*D15)/1)+0.25*((0.3*D7+0.3*D12+0.2*D13+0.2*D14)/1)+0.15*((0.35*D17+0.35*D18+0.3*D8)/1)+0.2*((0.2*D9+0.25*D22+0.2*D23+0.15*D24+0.2*D16)/1)+0.1*((0.4*D20+0.35*D21+0.25*D19)/1),"")</f>
        <v>0</v>
      </c>
      <c r="D45" s="321">
        <f>IFERROR(0.3*((0.3*E6+0.2*E10+0.3*E11+0.2*E15)/1)+0.25*((0.3*E7+0.3*E12+0.2*E13+0.2*E14)/1)+0.15*((0.35*E17+0.35*E18+0.3*E8)/1)+0.2*((0.2*E9+0.25*E22+0.2*E23+0.15*E24+0.2*E16)/1)+0.1*((0.4*E20+0.35*E21+0.25*E19)/1),"")</f>
        <v>7.9566659070836793E-2</v>
      </c>
      <c r="E45" s="321">
        <f>IFERROR(0.3*((0.3*F6+0.2*F10+0.3*F11+0.2*F15)/1)+0.25*((0.3*F7+0.3*F12+0.2*F13+0.2*F14)/1)+0.15*((0.35*F17+0.35*F18+0.3*F8)/1)+0.2*((0.2*F9+0.25*F22+0.2*F23+0.15*F24+0.2*F16)/1)+0.1*((0.4*F20+0.35*F21+0.25*F19)/1),"")</f>
        <v>0.15599291787097855</v>
      </c>
      <c r="F45" s="321">
        <f>IFERROR(0.3*((0.3*G6+0.2*G10+0.3*G11+0.2*G15)/1)+0.25*((0.3*G7+0.3*G12+0.2*G13+0.2*G14)/1)+0.15*((0.35*G17+0.35*G18+0.3*G8)/1)+0.2*((0.2*G9+0.25*G22+0.2*G23+0.15*G24+0.2*G16)/1)+0.1*((0.4*G20+0.35*G21+0.25*G19)/1),"")</f>
        <v>0.23093171410758845</v>
      </c>
      <c r="G45" s="321">
        <f>IFERROR(0.3*((0.3*H6+0.2*H10+0.3*H11+0.2*H15)/1)+0.25*((0.3*H7+0.3*H12+0.2*H13+0.2*H14)/1)+0.15*((0.35*H17+0.35*H18+0.3*H8)/1)+0.2*((0.2*H9+0.25*H22+0.2*H23+0.15*H24+0.2*H16)/1)+0.1*((0.4*H20+0.35*H21+0.25*H19)/1),"")</f>
        <v>0.40850821111105395</v>
      </c>
      <c r="H45" s="322">
        <f t="shared" si="0"/>
        <v>0.40850821111105395</v>
      </c>
    </row>
    <row r="46" spans="1:8" ht="16.5" customHeight="1" x14ac:dyDescent="0.25">
      <c r="A46" s="319" t="s">
        <v>148</v>
      </c>
      <c r="B46" s="320" t="s">
        <v>924</v>
      </c>
      <c r="C46" s="321">
        <f>IFERROR(0.3*((0.3*I6+0.2*I10+0.3*I11+0.2*I15)/1)+0.25*((0.3*I7+0.3*I12+0.2*I13+0.2*I14)/1)+0.15*((0.35*I17+0.35*I18+0.3*I8)/1)+0.2*((0.2*I9+0.25*I22+0.2*I23+0.15*I24+0.2*I16)/1)+0.1*((0.4*I20+0.35*I21+0.25*I19)/1),"")</f>
        <v>0</v>
      </c>
      <c r="D46" s="321">
        <f>IFERROR(0.3*((0.3*J6+0.2*J10+0.3*J11+0.2*J15)/1)+0.25*((0.3*J7+0.3*J12+0.2*J13+0.2*J14)/1)+0.15*((0.35*J17+0.35*J18+0.3*J8)/1)+0.2*((0.2*J9+0.25*J22+0.2*J23+0.15*J24+0.2*J16)/1)+0.1*((0.4*J20+0.35*J21+0.25*J19)/1),"")</f>
        <v>0.11946904215583086</v>
      </c>
      <c r="E46" s="321">
        <f>IFERROR(0.3*((0.3*K6+0.2*K10+0.3*K11+0.2*K15)/1)+0.25*((0.3*K7+0.3*K12+0.2*K13+0.2*K14)/1)+0.15*((0.35*K17+0.35*K18+0.3*K8)/1)+0.2*((0.2*K9+0.25*K22+0.2*K23+0.15*K24+0.2*K16)/1)+0.1*((0.4*K20+0.35*K21+0.25*K19)/1),"")</f>
        <v>0.25252264174896583</v>
      </c>
      <c r="F46" s="321">
        <f>IFERROR(0.3*((0.3*L6+0.2*L10+0.3*L11+0.2*L15)/1)+0.25*((0.3*L7+0.3*L12+0.2*L13+0.2*L14)/1)+0.15*((0.35*L17+0.35*L18+0.3*L8)/1)+0.2*((0.2*L9+0.25*L22+0.2*L23+0.15*L24+0.2*L16)/1)+0.1*((0.4*L20+0.35*L21+0.25*L19)/1),"")</f>
        <v>0.36738056199058033</v>
      </c>
      <c r="G46" s="321">
        <f>IFERROR(0.3*((0.3*M6+0.2*M10+0.3*M11+0.2*M15)/1)+0.25*((0.3*M7+0.3*M12+0.2*M13+0.2*M14)/1)+0.15*((0.35*M17+0.35*M18+0.3*M8)/1)+0.2*((0.2*M9+0.25*M22+0.2*M23+0.15*M24+0.2*M16)/1)+0.1*((0.4*M20+0.35*M21+0.25*M19)/1),"")</f>
        <v>0.64959477197009263</v>
      </c>
      <c r="H46" s="322">
        <f t="shared" si="0"/>
        <v>0.64959477197009263</v>
      </c>
    </row>
    <row r="47" spans="1:8" ht="16.5" customHeight="1" x14ac:dyDescent="0.25">
      <c r="A47" s="319" t="s">
        <v>148</v>
      </c>
      <c r="B47" s="320" t="s">
        <v>925</v>
      </c>
      <c r="C47" s="321">
        <f>IFERROR(0.3*((0.3*N6+0.2*N10+0.3*N11+0.2*N15)/1)+0.25*((0.3*N7+0.3*N12+0.2*N13+0.2*N14)/1)+0.15*((0.35*N17+0.35*N18+0.3*N8)/1)+0.2*((0.2*N9+0.25*N22+0.2*N23+0.15*N24+0.2*N16)/1)+0.1*((0.4*N20+0.35*N21+0.25*N19)/1),"")</f>
        <v>0</v>
      </c>
      <c r="D47" s="321">
        <f>IFERROR(0.3*((0.3*O6+0.2*O10+0.3*O11+0.2*O15)/1)+0.25*((0.3*O7+0.3*O12+0.2*O13+0.2*O14)/1)+0.15*((0.35*O17+0.35*O18+0.3*O8)/1)+0.2*((0.2*O9+0.25*O22+0.2*O23+0.15*O24+0.2*O16)/1)+0.1*((0.4*O20+0.35*O21+0.25*O19)/1),"")</f>
        <v>0.13004022839134025</v>
      </c>
      <c r="E47" s="321">
        <f>IFERROR(0.3*((0.3*P6+0.2*P10+0.3*P11+0.2*P15)/1)+0.25*((0.3*P7+0.3*P12+0.2*P13+0.2*P14)/1)+0.15*((0.35*P17+0.35*P18+0.3*P8)/1)+0.2*((0.2*P9+0.25*P22+0.2*P23+0.15*P24+0.2*P16)/1)+0.1*((0.4*P20+0.35*P21+0.25*P19)/1),"")</f>
        <v>0.26326809327392059</v>
      </c>
      <c r="F47" s="321">
        <f>IFERROR(0.3*((0.3*Q6+0.2*Q10+0.3*Q11+0.2*Q15)/1)+0.25*((0.3*Q7+0.3*Q12+0.2*Q13+0.2*Q14)/1)+0.15*((0.35*Q17+0.35*Q18+0.3*Q8)/1)+0.2*((0.2*Q9+0.25*Q22+0.2*Q23+0.15*Q24+0.2*Q16)/1)+0.1*((0.4*Q20+0.35*Q21+0.25*Q19)/1),"")</f>
        <v>0.3861331951740577</v>
      </c>
      <c r="G47" s="321">
        <f>IFERROR(0.3*((0.3*R6+0.2*R10+0.3*R11+0.2*R15)/1)+0.25*((0.3*R7+0.3*R12+0.2*R13+0.2*R14)/1)+0.15*((0.35*R17+0.35*R18+0.3*R8)/1)+0.2*((0.2*R9+0.25*R22+0.2*R23+0.15*R24+0.2*R16)/1)+0.1*((0.4*R20+0.35*R21+0.25*R19)/1),"")</f>
        <v>0.68113622586268197</v>
      </c>
      <c r="H47" s="322">
        <f t="shared" si="0"/>
        <v>0.68113622586268197</v>
      </c>
    </row>
    <row r="48" spans="1:8" ht="16.5" customHeight="1" x14ac:dyDescent="0.25">
      <c r="A48" s="319" t="s">
        <v>148</v>
      </c>
      <c r="B48" s="320" t="s">
        <v>926</v>
      </c>
      <c r="C48" s="321">
        <f>IFERROR(0.3*((0.3*S6+0.2*S10+0.3*S11+0.2*S15)/1)+0.25*((0.3*S7+0.3*S12+0.2*S13+0.2*S14)/1)+0.15*((0.35*S17+0.35*S18+0.3*S8)/1)+0.2*((0.2*S9+0.25*S22+0.2*S23+0.15*S24+0.2*S16)/1)+0.1*((0.4*S20+0.35*S21+0.25*S19)/1),"")</f>
        <v>0</v>
      </c>
      <c r="D48" s="321">
        <f>IFERROR(0.3*((0.3*T6+0.2*T10+0.3*T11+0.2*T15)/1)+0.25*((0.3*T7+0.3*T12+0.2*T13+0.2*T14)/1)+0.15*((0.35*T17+0.35*T18+0.3*T8)/1)+0.2*((0.2*T9+0.25*T22+0.2*T23+0.15*T24+0.2*T16)/1)+0.1*((0.4*T20+0.35*T21+0.25*T19)/1),"")</f>
        <v>5.5522366684334946E-2</v>
      </c>
      <c r="E48" s="321">
        <f>IFERROR(0.3*((0.3*U6+0.2*U10+0.3*U11+0.2*U15)/1)+0.25*((0.3*U7+0.3*U12+0.2*U13+0.2*U14)/1)+0.15*((0.35*U17+0.35*U18+0.3*U8)/1)+0.2*((0.2*U9+0.25*U22+0.2*U23+0.15*U24+0.2*U16)/1)+0.1*((0.4*U20+0.35*U21+0.25*U19)/1),"")</f>
        <v>0.1117515580810706</v>
      </c>
      <c r="F48" s="321">
        <f>IFERROR(0.3*((0.3*V6+0.2*V10+0.3*V11+0.2*V15)/1)+0.25*((0.3*V7+0.3*V12+0.2*V13+0.2*V14)/1)+0.15*((0.35*V17+0.35*V18+0.3*V8)/1)+0.2*((0.2*V9+0.25*V22+0.2*V23+0.15*V24+0.2*V16)/1)+0.1*((0.4*V20+0.35*V21+0.25*V19)/1),"")</f>
        <v>0.16751665860328971</v>
      </c>
      <c r="G48" s="321">
        <f>IFERROR(0.3*((0.3*W6+0.2*W10+0.3*W11+0.2*W15)/1)+0.25*((0.3*W7+0.3*W12+0.2*W13+0.2*W14)/1)+0.15*((0.35*W17+0.35*W18+0.3*W8)/1)+0.2*((0.2*W9+0.25*W22+0.2*W23+0.15*W24+0.2*W16)/1)+0.1*((0.4*W20+0.35*W21+0.25*W19)/1),"")</f>
        <v>0.29060530669480183</v>
      </c>
      <c r="H48" s="322">
        <f t="shared" si="0"/>
        <v>0.29060530669480183</v>
      </c>
    </row>
    <row r="83" spans="1:12" ht="15" customHeight="1" x14ac:dyDescent="0.25">
      <c r="A83" s="357" t="s">
        <v>861</v>
      </c>
      <c r="B83" s="357"/>
      <c r="C83" s="357"/>
      <c r="D83" s="357"/>
      <c r="E83" s="357"/>
      <c r="F83" s="357"/>
      <c r="G83" s="357"/>
      <c r="H83" s="357"/>
      <c r="I83" s="357"/>
      <c r="J83" s="357"/>
      <c r="K83" s="357"/>
      <c r="L83" s="357"/>
    </row>
    <row r="84" spans="1:12" ht="43.5" customHeight="1" x14ac:dyDescent="0.25">
      <c r="A84" s="387" t="s">
        <v>5031</v>
      </c>
      <c r="B84" s="387"/>
      <c r="C84" s="388" t="s">
        <v>5032</v>
      </c>
      <c r="D84" s="388"/>
      <c r="E84" s="388"/>
      <c r="F84" s="388"/>
      <c r="G84" s="388"/>
      <c r="H84" s="388"/>
      <c r="I84" s="388"/>
      <c r="J84" s="388"/>
      <c r="K84" s="388"/>
      <c r="L84" s="388"/>
    </row>
    <row r="85" spans="1:12" ht="43.5" customHeight="1" x14ac:dyDescent="0.25">
      <c r="A85" s="360" t="s">
        <v>2412</v>
      </c>
      <c r="B85" s="360"/>
      <c r="C85" s="361" t="s">
        <v>5033</v>
      </c>
      <c r="D85" s="361"/>
      <c r="E85" s="361"/>
      <c r="F85" s="361"/>
      <c r="G85" s="361"/>
      <c r="H85" s="361"/>
      <c r="I85" s="361"/>
      <c r="J85" s="361"/>
      <c r="K85" s="361"/>
      <c r="L85" s="361"/>
    </row>
    <row r="86" spans="1:12" ht="43.5" customHeight="1" x14ac:dyDescent="0.25">
      <c r="A86" s="360" t="s">
        <v>5034</v>
      </c>
      <c r="B86" s="360"/>
      <c r="C86" s="361" t="s">
        <v>5035</v>
      </c>
      <c r="D86" s="361"/>
      <c r="E86" s="361"/>
      <c r="F86" s="361"/>
      <c r="G86" s="361"/>
      <c r="H86" s="361"/>
      <c r="I86" s="361"/>
      <c r="J86" s="361"/>
      <c r="K86" s="361"/>
      <c r="L86" s="361"/>
    </row>
    <row r="87" spans="1:12" ht="43.5" customHeight="1" x14ac:dyDescent="0.25">
      <c r="A87" s="387" t="s">
        <v>5036</v>
      </c>
      <c r="B87" s="387"/>
      <c r="C87" s="388" t="s">
        <v>5037</v>
      </c>
      <c r="D87" s="388"/>
      <c r="E87" s="388"/>
      <c r="F87" s="388"/>
      <c r="G87" s="388"/>
      <c r="H87" s="388"/>
      <c r="I87" s="388"/>
      <c r="J87" s="388"/>
      <c r="K87" s="388"/>
      <c r="L87" s="388"/>
    </row>
    <row r="88" spans="1:12" ht="43.5" customHeight="1" x14ac:dyDescent="0.25">
      <c r="A88" s="360" t="s">
        <v>5038</v>
      </c>
      <c r="B88" s="360"/>
      <c r="C88" s="361" t="s">
        <v>5039</v>
      </c>
      <c r="D88" s="361"/>
      <c r="E88" s="361"/>
      <c r="F88" s="361"/>
      <c r="G88" s="361"/>
      <c r="H88" s="361"/>
      <c r="I88" s="361"/>
      <c r="J88" s="361"/>
      <c r="K88" s="361"/>
      <c r="L88" s="361"/>
    </row>
  </sheetData>
  <sheetProtection password="EBB1" sheet="1" formatColumns="0" formatRows="0" sort="0" autoFilter="0"/>
  <mergeCells count="19">
    <mergeCell ref="A88:B88"/>
    <mergeCell ref="C88:L88"/>
    <mergeCell ref="A85:B85"/>
    <mergeCell ref="C85:L85"/>
    <mergeCell ref="A86:B86"/>
    <mergeCell ref="C86:L86"/>
    <mergeCell ref="A87:B87"/>
    <mergeCell ref="C87:L87"/>
    <mergeCell ref="N4:R4"/>
    <mergeCell ref="S4:W4"/>
    <mergeCell ref="A27:L27"/>
    <mergeCell ref="A83:L83"/>
    <mergeCell ref="A84:B84"/>
    <mergeCell ref="C84:L84"/>
    <mergeCell ref="A1:L1"/>
    <mergeCell ref="A2:L2"/>
    <mergeCell ref="A4:C4"/>
    <mergeCell ref="D4:H4"/>
    <mergeCell ref="I4:M4"/>
  </mergeCells>
  <pageMargins left="0.75" right="0.75" top="1" bottom="1" header="0.511811023622047" footer="0.511811023622047"/>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0"/>
  <sheetViews>
    <sheetView zoomScaleNormal="100" workbookViewId="0">
      <pane ySplit="5" topLeftCell="A6" activePane="bottomLeft" state="frozen"/>
      <selection pane="bottomLeft" sqref="A1:L1"/>
    </sheetView>
  </sheetViews>
  <sheetFormatPr defaultColWidth="8.7109375" defaultRowHeight="15" x14ac:dyDescent="0.25"/>
  <cols>
    <col min="1" max="1" width="14" style="15" customWidth="1"/>
    <col min="2" max="2" width="12" style="15" customWidth="1"/>
    <col min="3" max="6" width="11" style="15" customWidth="1"/>
    <col min="7" max="7" width="12" style="15" customWidth="1"/>
    <col min="8" max="8" width="14" style="15" customWidth="1"/>
    <col min="9" max="9" width="13" style="15" customWidth="1"/>
    <col min="10" max="10" width="26" style="15" customWidth="1"/>
    <col min="11" max="12" width="8" style="15" customWidth="1"/>
    <col min="15" max="19" width="11" style="15" customWidth="1"/>
    <col min="20" max="20" width="13" style="15" customWidth="1"/>
  </cols>
  <sheetData>
    <row r="1" spans="1:20" ht="15.75" customHeight="1" x14ac:dyDescent="0.25">
      <c r="A1" s="3" t="s">
        <v>5040</v>
      </c>
      <c r="B1" s="3"/>
      <c r="C1" s="3"/>
      <c r="D1" s="3"/>
      <c r="E1" s="3"/>
      <c r="F1" s="3"/>
      <c r="G1" s="3"/>
      <c r="H1" s="3"/>
      <c r="I1" s="3"/>
      <c r="J1" s="3"/>
      <c r="K1" s="3"/>
      <c r="L1" s="3"/>
    </row>
    <row r="2" spans="1:20" ht="42" customHeight="1" x14ac:dyDescent="0.25">
      <c r="A2" s="400" t="s">
        <v>5041</v>
      </c>
      <c r="B2" s="400"/>
      <c r="C2" s="400"/>
      <c r="D2" s="400"/>
      <c r="E2" s="400"/>
      <c r="F2" s="400"/>
      <c r="G2" s="400"/>
      <c r="H2" s="400"/>
      <c r="I2" s="400"/>
      <c r="J2" s="400"/>
      <c r="K2" s="400"/>
      <c r="L2" s="400"/>
    </row>
    <row r="4" spans="1:20" ht="21.75" customHeight="1" x14ac:dyDescent="0.25">
      <c r="A4" s="357" t="s">
        <v>5042</v>
      </c>
      <c r="B4" s="357"/>
      <c r="C4" s="357"/>
      <c r="D4" s="357"/>
      <c r="E4" s="357"/>
      <c r="F4" s="357"/>
      <c r="G4" s="357"/>
      <c r="H4" s="357"/>
      <c r="I4" s="357"/>
      <c r="J4" s="357"/>
      <c r="K4" s="357"/>
      <c r="L4" s="357"/>
      <c r="O4" s="385" t="s">
        <v>5043</v>
      </c>
      <c r="P4" s="385"/>
      <c r="Q4" s="385"/>
      <c r="R4" s="385"/>
      <c r="S4" s="385"/>
    </row>
    <row r="5" spans="1:20" ht="33.75" customHeight="1" x14ac:dyDescent="0.25">
      <c r="A5" s="16" t="s">
        <v>4931</v>
      </c>
      <c r="B5" s="16" t="s">
        <v>5044</v>
      </c>
      <c r="C5" s="16" t="s">
        <v>5045</v>
      </c>
      <c r="D5" s="16" t="s">
        <v>5046</v>
      </c>
      <c r="E5" s="16" t="s">
        <v>5047</v>
      </c>
      <c r="F5" s="16" t="s">
        <v>5048</v>
      </c>
      <c r="G5" s="16" t="s">
        <v>5049</v>
      </c>
      <c r="H5" s="16" t="s">
        <v>5050</v>
      </c>
      <c r="I5" s="16" t="s">
        <v>5051</v>
      </c>
      <c r="J5" s="16" t="s">
        <v>5052</v>
      </c>
      <c r="K5" s="16" t="s">
        <v>5053</v>
      </c>
      <c r="L5" s="16" t="s">
        <v>5054</v>
      </c>
      <c r="O5" s="230" t="s">
        <v>5055</v>
      </c>
      <c r="P5" s="230" t="s">
        <v>4931</v>
      </c>
      <c r="Q5" s="230" t="s">
        <v>5056</v>
      </c>
      <c r="R5" s="230" t="s">
        <v>5057</v>
      </c>
      <c r="S5" s="230" t="s">
        <v>5058</v>
      </c>
      <c r="T5" s="323" t="s">
        <v>5059</v>
      </c>
    </row>
    <row r="6" spans="1:20" ht="15" customHeight="1" x14ac:dyDescent="0.25">
      <c r="A6" s="69" t="s">
        <v>923</v>
      </c>
      <c r="B6" s="70" t="s">
        <v>5060</v>
      </c>
      <c r="C6" s="270">
        <f>COUNTIF($P$6:$P$200,$A6)</f>
        <v>42</v>
      </c>
      <c r="D6" s="73" t="str">
        <f>IFERROR(TEXT(AVERAGEIFS('2024_2026'!$G$2:$G$976,'2024_2026'!$B$2:$B$976,$A6,'2024_2026'!$F$2:$F$976,0),"0.00")&amp;" ± "&amp;TEXT(SQRT(SUMPRODUCT(('2024_2026'!$B$2:$B$976=$A6)*('2024_2026'!$F$2:$F$976=0)*('2024_2026'!$G$2:$G$976-AVERAGEIFS('2024_2026'!$G$2:$G$976,'2024_2026'!$B$2:$B$976,$A6,'2024_2026'!$F$2:$F$976,0))^2)/(SUMPRODUCT(('2024_2026'!$B$2:$B$976=$A6)*('2024_2026'!$F$2:$F$976=0))-1)),"0.00"),"")</f>
        <v/>
      </c>
      <c r="E6" s="73" t="str">
        <f>IFERROR(TEXT(AVERAGEIFS('2024_2026'!$G$2:$G$976,'2024_2026'!$B$2:$B$976,$A6,'2024_2026'!$F$2:$F$976,21),"0.00")&amp;" ± "&amp;TEXT(SQRT(SUMPRODUCT(('2024_2026'!$B$2:$B$976=$A6)*('2024_2026'!$F$2:$F$976=21)*('2024_2026'!$G$2:$G$976-AVERAGEIFS('2024_2026'!$G$2:$G$976,'2024_2026'!$B$2:$B$976,$A6,'2024_2026'!$F$2:$F$976,21))^2)/(SUMPRODUCT(('2024_2026'!$B$2:$B$976=$A6)*('2024_2026'!$F$2:$F$976=21))-1)),"0.00"),"")</f>
        <v/>
      </c>
      <c r="F6" s="279">
        <f>IFERROR(AVERAGEIF($P$6:$P$200,$A6,$S$6:$S$200),"")</f>
        <v>0.49977573427784638</v>
      </c>
      <c r="G6" s="74">
        <f>IFERROR(SQRT(SUMPRODUCT(($P$6:$P$200=$A6)*($S$6:$S$200-$F6)^2)/($C6-1)),"")</f>
        <v>3.7871124985766232E-2</v>
      </c>
      <c r="H6" s="74">
        <f>IFERROR($F6-TINV(0.05,$C6-1)*$G6/SQRT($C6),"")</f>
        <v>0.48797426094868657</v>
      </c>
      <c r="I6" s="74">
        <f>IFERROR($F6+TINV(0.05,$C6-1)*$G6/SQRT($C6),"")</f>
        <v>0.5115772076070062</v>
      </c>
      <c r="J6" s="146">
        <f>IFERROR(SUMPRODUCT(($P$6:$P$200=$A6)*($T$6:$T$200&gt;=0.3))/$C6,"")</f>
        <v>0.95238095238095233</v>
      </c>
      <c r="K6" s="74">
        <f>IFERROR(INDEX(F1_Когортні_індекси!$G$45:$G$48,MATCH($A6,F1_Когортні_індекси!$B$45:$B$48,0)),"")</f>
        <v>0.40850821111105395</v>
      </c>
      <c r="L6" s="69">
        <f>RANK($F6,$F$6:$F$9)</f>
        <v>3</v>
      </c>
      <c r="O6" s="203">
        <v>1</v>
      </c>
      <c r="P6" s="231" t="str">
        <f>IFERROR(INDEX('2024_2026'!$B$2:$B$976,MATCH($O6,'2024_2026'!$A$2:$A$976,0)),"")</f>
        <v>L1</v>
      </c>
      <c r="Q6" s="324">
        <f>IFERROR(SUMIFS('2024_2026'!$G$2:$G$976,'2024_2026'!$A$2:$A$976,$O6,'2024_2026'!$F$2:$F$976,0),"")</f>
        <v>7</v>
      </c>
      <c r="R6" s="324">
        <f>IFERROR(SUMIFS('2024_2026'!$G$2:$G$976,'2024_2026'!$A$2:$A$976,$O6,'2024_2026'!$F$2:$F$976,21),"")</f>
        <v>4.7</v>
      </c>
      <c r="S6" s="325">
        <f t="shared" ref="S6:S37" si="0">IFERROR(MAX(0,MIN(1,($Q6-$R6)/($Q6-2))),"")</f>
        <v>0.45999999999999996</v>
      </c>
      <c r="T6" s="326">
        <f t="shared" ref="T6:T37" si="1">IFERROR(($Q6-$R6)/$Q6,"")</f>
        <v>0.32857142857142857</v>
      </c>
    </row>
    <row r="7" spans="1:20" ht="15" customHeight="1" x14ac:dyDescent="0.25">
      <c r="A7" s="78" t="s">
        <v>924</v>
      </c>
      <c r="B7" s="79" t="s">
        <v>5061</v>
      </c>
      <c r="C7" s="327">
        <f>COUNTIF($P$6:$P$200,$A7)</f>
        <v>47</v>
      </c>
      <c r="D7" s="81" t="str">
        <f>IFERROR(TEXT(AVERAGEIFS('2024_2026'!$G$2:$G$976,'2024_2026'!$B$2:$B$976,$A7,'2024_2026'!$F$2:$F$976,0),"0.00")&amp;" ± "&amp;TEXT(SQRT(SUMPRODUCT(('2024_2026'!$B$2:$B$976=$A7)*('2024_2026'!$F$2:$F$976=0)*('2024_2026'!$G$2:$G$976-AVERAGEIFS('2024_2026'!$G$2:$G$976,'2024_2026'!$B$2:$B$976,$A7,'2024_2026'!$F$2:$F$976,0))^2)/(SUMPRODUCT(('2024_2026'!$B$2:$B$976=$A7)*('2024_2026'!$F$2:$F$976=0))-1)),"0.00"),"")</f>
        <v/>
      </c>
      <c r="E7" s="81" t="str">
        <f>IFERROR(TEXT(AVERAGEIFS('2024_2026'!$G$2:$G$976,'2024_2026'!$B$2:$B$976,$A7,'2024_2026'!$F$2:$F$976,21),"0.00")&amp;" ± "&amp;TEXT(SQRT(SUMPRODUCT(('2024_2026'!$B$2:$B$976=$A7)*('2024_2026'!$F$2:$F$976=21)*('2024_2026'!$G$2:$G$976-AVERAGEIFS('2024_2026'!$G$2:$G$976,'2024_2026'!$B$2:$B$976,$A7,'2024_2026'!$F$2:$F$976,21))^2)/(SUMPRODUCT(('2024_2026'!$B$2:$B$976=$A7)*('2024_2026'!$F$2:$F$976=21))-1)),"0.00"),"")</f>
        <v/>
      </c>
      <c r="F7" s="279">
        <f>IFERROR(AVERAGEIF($P$6:$P$200,$A7,$S$6:$S$200),"")</f>
        <v>0.78047774259864444</v>
      </c>
      <c r="G7" s="82">
        <f>IFERROR(SQRT(SUMPRODUCT(($P$6:$P$200=$A7)*($S$6:$S$200-$F7)^2)/($C7-1)),"")</f>
        <v>3.7726426849965959E-2</v>
      </c>
      <c r="H7" s="82">
        <f>IFERROR($F7-TINV(0.05,$C7-1)*$G7/SQRT($C7),"")</f>
        <v>0.76940084870658487</v>
      </c>
      <c r="I7" s="82">
        <f>IFERROR($F7+TINV(0.05,$C7-1)*$G7/SQRT($C7),"")</f>
        <v>0.79155463649070401</v>
      </c>
      <c r="J7" s="328">
        <f>IFERROR(SUMPRODUCT(($P$6:$P$200=$A7)*($T$6:$T$200&gt;=0.3))/$C7,"")</f>
        <v>1</v>
      </c>
      <c r="K7" s="82">
        <f>IFERROR(INDEX(F1_Когортні_індекси!$G$45:$G$48,MATCH($A7,F1_Когортні_індекси!$B$45:$B$48,0)),"")</f>
        <v>0.64959477197009263</v>
      </c>
      <c r="L7" s="78">
        <f>RANK($F7,$F$6:$F$9)</f>
        <v>2</v>
      </c>
      <c r="O7" s="203">
        <v>2</v>
      </c>
      <c r="P7" s="231" t="str">
        <f>IFERROR(INDEX('2024_2026'!$B$2:$B$976,MATCH($O7,'2024_2026'!$A$2:$A$976,0)),"")</f>
        <v>L1</v>
      </c>
      <c r="Q7" s="324">
        <f>IFERROR(SUMIFS('2024_2026'!$G$2:$G$976,'2024_2026'!$A$2:$A$976,$O7,'2024_2026'!$F$2:$F$976,0),"")</f>
        <v>6.9</v>
      </c>
      <c r="R7" s="324">
        <f>IFERROR(SUMIFS('2024_2026'!$G$2:$G$976,'2024_2026'!$A$2:$A$976,$O7,'2024_2026'!$F$2:$F$976,21),"")</f>
        <v>4.3</v>
      </c>
      <c r="S7" s="325">
        <f t="shared" si="0"/>
        <v>0.53061224489795922</v>
      </c>
      <c r="T7" s="326">
        <f t="shared" si="1"/>
        <v>0.37681159420289861</v>
      </c>
    </row>
    <row r="8" spans="1:20" ht="15" customHeight="1" x14ac:dyDescent="0.25">
      <c r="A8" s="69" t="s">
        <v>925</v>
      </c>
      <c r="B8" s="70" t="s">
        <v>5062</v>
      </c>
      <c r="C8" s="270">
        <f>COUNTIF($P$6:$P$200,$A8)</f>
        <v>39</v>
      </c>
      <c r="D8" s="73" t="str">
        <f>IFERROR(TEXT(AVERAGEIFS('2024_2026'!$G$2:$G$976,'2024_2026'!$B$2:$B$976,$A8,'2024_2026'!$F$2:$F$976,0),"0.00")&amp;" ± "&amp;TEXT(SQRT(SUMPRODUCT(('2024_2026'!$B$2:$B$976=$A8)*('2024_2026'!$F$2:$F$976=0)*('2024_2026'!$G$2:$G$976-AVERAGEIFS('2024_2026'!$G$2:$G$976,'2024_2026'!$B$2:$B$976,$A8,'2024_2026'!$F$2:$F$976,0))^2)/(SUMPRODUCT(('2024_2026'!$B$2:$B$976=$A8)*('2024_2026'!$F$2:$F$976=0))-1)),"0.00"),"")</f>
        <v/>
      </c>
      <c r="E8" s="73" t="str">
        <f>IFERROR(TEXT(AVERAGEIFS('2024_2026'!$G$2:$G$976,'2024_2026'!$B$2:$B$976,$A8,'2024_2026'!$F$2:$F$976,21),"0.00")&amp;" ± "&amp;TEXT(SQRT(SUMPRODUCT(('2024_2026'!$B$2:$B$976=$A8)*('2024_2026'!$F$2:$F$976=21)*('2024_2026'!$G$2:$G$976-AVERAGEIFS('2024_2026'!$G$2:$G$976,'2024_2026'!$B$2:$B$976,$A8,'2024_2026'!$F$2:$F$976,21))^2)/(SUMPRODUCT(('2024_2026'!$B$2:$B$976=$A8)*('2024_2026'!$F$2:$F$976=21))-1)),"0.00"),"")</f>
        <v/>
      </c>
      <c r="F8" s="279">
        <f>IFERROR(AVERAGEIF($P$6:$P$200,$A8,$S$6:$S$200),"")</f>
        <v>0.82234140352245988</v>
      </c>
      <c r="G8" s="74">
        <f>IFERROR(SQRT(SUMPRODUCT(($P$6:$P$200=$A8)*($S$6:$S$200-$F8)^2)/($C8-1)),"")</f>
        <v>3.8332280514840757E-2</v>
      </c>
      <c r="H8" s="74">
        <f>IFERROR($F8-TINV(0.05,$C8-1)*$G8/SQRT($C8),"")</f>
        <v>0.80991551563849551</v>
      </c>
      <c r="I8" s="74">
        <f>IFERROR($F8+TINV(0.05,$C8-1)*$G8/SQRT($C8),"")</f>
        <v>0.83476729140642425</v>
      </c>
      <c r="J8" s="146">
        <f>IFERROR(SUMPRODUCT(($P$6:$P$200=$A8)*($T$6:$T$200&gt;=0.3))/$C8,"")</f>
        <v>1</v>
      </c>
      <c r="K8" s="74">
        <f>IFERROR(INDEX(F1_Когортні_індекси!$G$45:$G$48,MATCH($A8,F1_Когортні_індекси!$B$45:$B$48,0)),"")</f>
        <v>0.68113622586268197</v>
      </c>
      <c r="L8" s="69">
        <f>RANK($F8,$F$6:$F$9)</f>
        <v>1</v>
      </c>
      <c r="O8" s="203">
        <v>3</v>
      </c>
      <c r="P8" s="231" t="str">
        <f>IFERROR(INDEX('2024_2026'!$B$2:$B$976,MATCH($O8,'2024_2026'!$A$2:$A$976,0)),"")</f>
        <v>L1</v>
      </c>
      <c r="Q8" s="324">
        <f>IFERROR(SUMIFS('2024_2026'!$G$2:$G$976,'2024_2026'!$A$2:$A$976,$O8,'2024_2026'!$F$2:$F$976,0),"")</f>
        <v>6.6</v>
      </c>
      <c r="R8" s="324">
        <f>IFERROR(SUMIFS('2024_2026'!$G$2:$G$976,'2024_2026'!$A$2:$A$976,$O8,'2024_2026'!$F$2:$F$976,21),"")</f>
        <v>4.4000000000000004</v>
      </c>
      <c r="S8" s="325">
        <f t="shared" si="0"/>
        <v>0.47826086956521729</v>
      </c>
      <c r="T8" s="326">
        <f t="shared" si="1"/>
        <v>0.33333333333333326</v>
      </c>
    </row>
    <row r="9" spans="1:20" ht="15" customHeight="1" x14ac:dyDescent="0.25">
      <c r="A9" s="78" t="s">
        <v>926</v>
      </c>
      <c r="B9" s="79" t="s">
        <v>5063</v>
      </c>
      <c r="C9" s="327">
        <f>COUNTIF($P$6:$P$200,$A9)</f>
        <v>67</v>
      </c>
      <c r="D9" s="81" t="str">
        <f>IFERROR(TEXT(AVERAGEIFS('2024_2026'!$G$2:$G$976,'2024_2026'!$B$2:$B$976,$A9,'2024_2026'!$F$2:$F$976,0),"0.00")&amp;" ± "&amp;TEXT(SQRT(SUMPRODUCT(('2024_2026'!$B$2:$B$976=$A9)*('2024_2026'!$F$2:$F$976=0)*('2024_2026'!$G$2:$G$976-AVERAGEIFS('2024_2026'!$G$2:$G$976,'2024_2026'!$B$2:$B$976,$A9,'2024_2026'!$F$2:$F$976,0))^2)/(SUMPRODUCT(('2024_2026'!$B$2:$B$976=$A9)*('2024_2026'!$F$2:$F$976=0))-1)),"0.00"),"")</f>
        <v/>
      </c>
      <c r="E9" s="81" t="str">
        <f>IFERROR(TEXT(AVERAGEIFS('2024_2026'!$G$2:$G$976,'2024_2026'!$B$2:$B$976,$A9,'2024_2026'!$F$2:$F$976,21),"0.00")&amp;" ± "&amp;TEXT(SQRT(SUMPRODUCT(('2024_2026'!$B$2:$B$976=$A9)*('2024_2026'!$F$2:$F$976=21)*('2024_2026'!$G$2:$G$976-AVERAGEIFS('2024_2026'!$G$2:$G$976,'2024_2026'!$B$2:$B$976,$A9,'2024_2026'!$F$2:$F$976,21))^2)/(SUMPRODUCT(('2024_2026'!$B$2:$B$976=$A9)*('2024_2026'!$F$2:$F$976=21))-1)),"0.00"),"")</f>
        <v/>
      </c>
      <c r="F9" s="279">
        <f>IFERROR(AVERAGEIF($P$6:$P$200,$A9,$S$6:$S$200),"")</f>
        <v>0.36736433624120152</v>
      </c>
      <c r="G9" s="82">
        <f>IFERROR(SQRT(SUMPRODUCT(($P$6:$P$200=$A9)*($S$6:$S$200-$F9)^2)/($C9-1)),"")</f>
        <v>3.7989196867667996E-2</v>
      </c>
      <c r="H9" s="82">
        <f>IFERROR($F9-TINV(0.05,$C9-1)*$G9/SQRT($C9),"")</f>
        <v>0.35809804303619774</v>
      </c>
      <c r="I9" s="82">
        <f>IFERROR($F9+TINV(0.05,$C9-1)*$G9/SQRT($C9),"")</f>
        <v>0.37663062944620529</v>
      </c>
      <c r="J9" s="328">
        <f>IFERROR(SUMPRODUCT(($P$6:$P$200=$A9)*($T$6:$T$200&gt;=0.3))/$C9,"")</f>
        <v>7.4626865671641784E-2</v>
      </c>
      <c r="K9" s="82">
        <f>IFERROR(INDEX(F1_Когортні_індекси!$G$45:$G$48,MATCH($A9,F1_Когортні_індекси!$B$45:$B$48,0)),"")</f>
        <v>0.29060530669480183</v>
      </c>
      <c r="L9" s="78">
        <f>RANK($F9,$F$6:$F$9)</f>
        <v>4</v>
      </c>
      <c r="O9" s="203">
        <v>4</v>
      </c>
      <c r="P9" s="231" t="str">
        <f>IFERROR(INDEX('2024_2026'!$B$2:$B$976,MATCH($O9,'2024_2026'!$A$2:$A$976,0)),"")</f>
        <v>L1</v>
      </c>
      <c r="Q9" s="324">
        <f>IFERROR(SUMIFS('2024_2026'!$G$2:$G$976,'2024_2026'!$A$2:$A$976,$O9,'2024_2026'!$F$2:$F$976,0),"")</f>
        <v>6.4</v>
      </c>
      <c r="R9" s="324">
        <f>IFERROR(SUMIFS('2024_2026'!$G$2:$G$976,'2024_2026'!$A$2:$A$976,$O9,'2024_2026'!$F$2:$F$976,21),"")</f>
        <v>4.0999999999999996</v>
      </c>
      <c r="S9" s="325">
        <f t="shared" si="0"/>
        <v>0.52272727272727282</v>
      </c>
      <c r="T9" s="326">
        <f t="shared" si="1"/>
        <v>0.35937500000000011</v>
      </c>
    </row>
    <row r="10" spans="1:20" ht="15" customHeight="1" x14ac:dyDescent="0.25">
      <c r="O10" s="203">
        <v>5</v>
      </c>
      <c r="P10" s="231" t="str">
        <f>IFERROR(INDEX('2024_2026'!$B$2:$B$976,MATCH($O10,'2024_2026'!$A$2:$A$976,0)),"")</f>
        <v>L1</v>
      </c>
      <c r="Q10" s="324">
        <f>IFERROR(SUMIFS('2024_2026'!$G$2:$G$976,'2024_2026'!$A$2:$A$976,$O10,'2024_2026'!$F$2:$F$976,0),"")</f>
        <v>5.9</v>
      </c>
      <c r="R10" s="324">
        <f>IFERROR(SUMIFS('2024_2026'!$G$2:$G$976,'2024_2026'!$A$2:$A$976,$O10,'2024_2026'!$F$2:$F$976,21),"")</f>
        <v>3.7</v>
      </c>
      <c r="S10" s="325">
        <f t="shared" si="0"/>
        <v>0.5641025641025641</v>
      </c>
      <c r="T10" s="326">
        <f t="shared" si="1"/>
        <v>0.3728813559322034</v>
      </c>
    </row>
    <row r="11" spans="1:20" ht="15" customHeight="1" x14ac:dyDescent="0.25">
      <c r="A11" s="357" t="s">
        <v>5064</v>
      </c>
      <c r="B11" s="357"/>
      <c r="C11" s="357"/>
      <c r="D11" s="357"/>
      <c r="E11" s="357"/>
      <c r="F11" s="357"/>
      <c r="G11" s="357"/>
      <c r="H11" s="357"/>
      <c r="I11" s="357"/>
      <c r="J11" s="357"/>
      <c r="K11" s="357"/>
      <c r="L11" s="357"/>
      <c r="O11" s="203">
        <v>6</v>
      </c>
      <c r="P11" s="231" t="str">
        <f>IFERROR(INDEX('2024_2026'!$B$2:$B$976,MATCH($O11,'2024_2026'!$A$2:$A$976,0)),"")</f>
        <v>L1</v>
      </c>
      <c r="Q11" s="324">
        <f>IFERROR(SUMIFS('2024_2026'!$G$2:$G$976,'2024_2026'!$A$2:$A$976,$O11,'2024_2026'!$F$2:$F$976,0),"")</f>
        <v>7.3</v>
      </c>
      <c r="R11" s="324">
        <f>IFERROR(SUMIFS('2024_2026'!$G$2:$G$976,'2024_2026'!$A$2:$A$976,$O11,'2024_2026'!$F$2:$F$976,21),"")</f>
        <v>4.7</v>
      </c>
      <c r="S11" s="325">
        <f t="shared" si="0"/>
        <v>0.490566037735849</v>
      </c>
      <c r="T11" s="326">
        <f t="shared" si="1"/>
        <v>0.35616438356164382</v>
      </c>
    </row>
    <row r="12" spans="1:20" ht="33.75" customHeight="1" x14ac:dyDescent="0.25">
      <c r="A12" s="16" t="s">
        <v>5065</v>
      </c>
      <c r="B12" s="16" t="s">
        <v>5066</v>
      </c>
      <c r="C12" s="16" t="s">
        <v>5067</v>
      </c>
      <c r="D12" s="16" t="s">
        <v>5068</v>
      </c>
      <c r="E12" s="16" t="s">
        <v>5069</v>
      </c>
      <c r="F12" s="16" t="s">
        <v>5070</v>
      </c>
      <c r="G12" s="16" t="s">
        <v>5071</v>
      </c>
      <c r="H12" s="16" t="s">
        <v>5072</v>
      </c>
      <c r="I12" s="16" t="s">
        <v>5073</v>
      </c>
      <c r="J12" s="16" t="s">
        <v>5074</v>
      </c>
      <c r="K12" s="16" t="s">
        <v>5075</v>
      </c>
      <c r="L12" s="16"/>
      <c r="O12" s="203">
        <v>7</v>
      </c>
      <c r="P12" s="231" t="str">
        <f>IFERROR(INDEX('2024_2026'!$B$2:$B$976,MATCH($O12,'2024_2026'!$A$2:$A$976,0)),"")</f>
        <v>L1</v>
      </c>
      <c r="Q12" s="324">
        <f>IFERROR(SUMIFS('2024_2026'!$G$2:$G$976,'2024_2026'!$A$2:$A$976,$O12,'2024_2026'!$F$2:$F$976,0),"")</f>
        <v>6.4</v>
      </c>
      <c r="R12" s="324">
        <f>IFERROR(SUMIFS('2024_2026'!$G$2:$G$976,'2024_2026'!$A$2:$A$976,$O12,'2024_2026'!$F$2:$F$976,21),"")</f>
        <v>4.3</v>
      </c>
      <c r="S12" s="325">
        <f t="shared" si="0"/>
        <v>0.47727272727272735</v>
      </c>
      <c r="T12" s="326">
        <f t="shared" si="1"/>
        <v>0.32812500000000006</v>
      </c>
    </row>
    <row r="13" spans="1:20" ht="19.5" customHeight="1" x14ac:dyDescent="0.25">
      <c r="A13" s="329" t="str">
        <f>$A$6&amp;" проти "&amp;$A$9</f>
        <v>L1 проти S</v>
      </c>
      <c r="B13" s="279">
        <f>IFERROR($F$6-$F$9,"")</f>
        <v>0.13241139803664487</v>
      </c>
      <c r="C13" s="74">
        <f>IFERROR($B13-TINV(0.05,$C$6+$C$9-2)*$E13*SQRT(1/$C$6+1/$C$9),"")</f>
        <v>0.11760730060812853</v>
      </c>
      <c r="D13" s="74">
        <f>IFERROR($B13+TINV(0.05,$C$6+$C$9-2)*$E13*SQRT(1/$C$6+1/$C$9),"")</f>
        <v>0.14721549546516119</v>
      </c>
      <c r="E13" s="74">
        <f>IFERROR(SQRT((($C$6-1)*$G$6^2+($C$9-1)*$G$9^2)/($C$6+$C$9-2)),"")</f>
        <v>3.7943997789920227E-2</v>
      </c>
      <c r="F13" s="330">
        <f>IFERROR($B13/$E13,"")</f>
        <v>3.4896533246114561</v>
      </c>
      <c r="G13" s="72" t="str">
        <f>IFERROR(IF(ABS($F13)&lt;0.2,"незначний",IF(ABS($F13)&lt;0.5,"малий",IF(ABS($F13)&lt;0.8,"середній","великий"))),"")</f>
        <v>великий</v>
      </c>
      <c r="H13" s="272">
        <f>IFERROR($B13/($E13*SQRT(1/$C$6+1/$C$9)),"")</f>
        <v>17.730912320526755</v>
      </c>
      <c r="I13" s="270">
        <f>$C$6+$C$9-2</f>
        <v>107</v>
      </c>
      <c r="J13" s="331">
        <f>IFERROR(TDIST(ABS($H13),$I13,2),"")</f>
        <v>1.2594591422622186E-33</v>
      </c>
      <c r="K13" s="332" t="str">
        <f>IFERROR(IF($J13&lt;0.001,"різниця дуже значуща (p&lt;0,001)",IF($J13&lt;0.01,"різниця значуща (p&lt;0,01)",IF($J13&lt;0.05,"різниця значуща (p&lt;0,05)","різниця не досягла значущості"))),"")</f>
        <v>різниця дуже значуща (p&lt;0,001)</v>
      </c>
      <c r="O13" s="203">
        <v>8</v>
      </c>
      <c r="P13" s="231" t="str">
        <f>IFERROR(INDEX('2024_2026'!$B$2:$B$976,MATCH($O13,'2024_2026'!$A$2:$A$976,0)),"")</f>
        <v>L1</v>
      </c>
      <c r="Q13" s="324">
        <f>IFERROR(SUMIFS('2024_2026'!$G$2:$G$976,'2024_2026'!$A$2:$A$976,$O13,'2024_2026'!$F$2:$F$976,0),"")</f>
        <v>6.5</v>
      </c>
      <c r="R13" s="324">
        <f>IFERROR(SUMIFS('2024_2026'!$G$2:$G$976,'2024_2026'!$A$2:$A$976,$O13,'2024_2026'!$F$2:$F$976,21),"")</f>
        <v>4.3</v>
      </c>
      <c r="S13" s="325">
        <f t="shared" si="0"/>
        <v>0.48888888888888893</v>
      </c>
      <c r="T13" s="326">
        <f t="shared" si="1"/>
        <v>0.33846153846153848</v>
      </c>
    </row>
    <row r="14" spans="1:20" ht="19.5" customHeight="1" x14ac:dyDescent="0.25">
      <c r="A14" s="329" t="str">
        <f>$A$7&amp;" проти "&amp;$A$9</f>
        <v>L2 проти S</v>
      </c>
      <c r="B14" s="279">
        <f>IFERROR($F$7-$F$9,"")</f>
        <v>0.41311340635744292</v>
      </c>
      <c r="C14" s="74">
        <f>IFERROR($B14-TINV(0.05,$C$7+$C$9-2)*$E14*SQRT(1/$C$7+1/$C$9),"")</f>
        <v>0.39883238806561749</v>
      </c>
      <c r="D14" s="74">
        <f>IFERROR($B14+TINV(0.05,$C$7+$C$9-2)*$E14*SQRT(1/$C$7+1/$C$9),"")</f>
        <v>0.42739442464926836</v>
      </c>
      <c r="E14" s="74">
        <f>IFERROR(SQRT((($C$7-1)*$G$7^2+($C$9-1)*$G$9^2)/($C$7+$C$9-2)),"")</f>
        <v>3.7881494045193691E-2</v>
      </c>
      <c r="F14" s="330">
        <f>IFERROR($B14/$E14,"")</f>
        <v>10.905414814542082</v>
      </c>
      <c r="G14" s="72" t="str">
        <f>IFERROR(IF(ABS($F14)&lt;0.2,"незначний",IF(ABS($F14)&lt;0.5,"малий",IF(ABS($F14)&lt;0.8,"середній","великий"))),"")</f>
        <v>великий</v>
      </c>
      <c r="H14" s="272">
        <f>IFERROR($B14/($E14*SQRT(1/$C$7+1/$C$9)),"")</f>
        <v>57.316029079852875</v>
      </c>
      <c r="I14" s="270">
        <f>$C$7+$C$9-2</f>
        <v>112</v>
      </c>
      <c r="J14" s="331">
        <f>IFERROR(TDIST(ABS($H14),$I14,2),"")</f>
        <v>7.8969563993069406E-85</v>
      </c>
      <c r="K14" s="332" t="str">
        <f>IFERROR(IF($J14&lt;0.001,"різниця дуже значуща (p&lt;0,001)",IF($J14&lt;0.01,"різниця значуща (p&lt;0,01)",IF($J14&lt;0.05,"різниця значуща (p&lt;0,05)","різниця не досягла значущості"))),"")</f>
        <v>різниця дуже значуща (p&lt;0,001)</v>
      </c>
      <c r="O14" s="203">
        <v>9</v>
      </c>
      <c r="P14" s="231" t="str">
        <f>IFERROR(INDEX('2024_2026'!$B$2:$B$976,MATCH($O14,'2024_2026'!$A$2:$A$976,0)),"")</f>
        <v>L1</v>
      </c>
      <c r="Q14" s="324">
        <f>IFERROR(SUMIFS('2024_2026'!$G$2:$G$976,'2024_2026'!$A$2:$A$976,$O14,'2024_2026'!$F$2:$F$976,0),"")</f>
        <v>6.9</v>
      </c>
      <c r="R14" s="324">
        <f>IFERROR(SUMIFS('2024_2026'!$G$2:$G$976,'2024_2026'!$A$2:$A$976,$O14,'2024_2026'!$F$2:$F$976,21),"")</f>
        <v>4.5</v>
      </c>
      <c r="S14" s="325">
        <f t="shared" si="0"/>
        <v>0.48979591836734698</v>
      </c>
      <c r="T14" s="326">
        <f t="shared" si="1"/>
        <v>0.34782608695652178</v>
      </c>
    </row>
    <row r="15" spans="1:20" ht="19.5" customHeight="1" x14ac:dyDescent="0.25">
      <c r="A15" s="329" t="str">
        <f>$A$8&amp;" проти "&amp;$A$9</f>
        <v>L3 проти S</v>
      </c>
      <c r="B15" s="279">
        <f>IFERROR($F$8-$F$9,"")</f>
        <v>0.45497706728125836</v>
      </c>
      <c r="C15" s="74">
        <f>IFERROR($B15-TINV(0.05,$C$8+$C$9-2)*$E15*SQRT(1/$C$8+1/$C$9),"")</f>
        <v>0.43975375744758949</v>
      </c>
      <c r="D15" s="74">
        <f>IFERROR($B15+TINV(0.05,$C$8+$C$9-2)*$E15*SQRT(1/$C$8+1/$C$9),"")</f>
        <v>0.47020037711492724</v>
      </c>
      <c r="E15" s="74">
        <f>IFERROR(SQRT((($C$8-1)*$G$8^2+($C$9-1)*$G$9^2)/($C$8+$C$9-2)),"")</f>
        <v>3.811491239946057E-2</v>
      </c>
      <c r="F15" s="330">
        <f>IFERROR($B15/$E15,"")</f>
        <v>11.936983155382972</v>
      </c>
      <c r="G15" s="72" t="str">
        <f>IFERROR(IF(ABS($F15)&lt;0.2,"незначний",IF(ABS($F15)&lt;0.5,"малий",IF(ABS($F15)&lt;0.8,"середній","великий"))),"")</f>
        <v>великий</v>
      </c>
      <c r="H15" s="272">
        <f>IFERROR($B15/($E15*SQRT(1/$C$8+1/$C$9)),"")</f>
        <v>59.266782845922386</v>
      </c>
      <c r="I15" s="270">
        <f>$C$8+$C$9-2</f>
        <v>104</v>
      </c>
      <c r="J15" s="331">
        <f>IFERROR(TDIST(ABS($H15),$I15,2),"")</f>
        <v>5.6624648520016094E-82</v>
      </c>
      <c r="K15" s="332" t="str">
        <f>IFERROR(IF($J15&lt;0.001,"різниця дуже значуща (p&lt;0,001)",IF($J15&lt;0.01,"різниця значуща (p&lt;0,01)",IF($J15&lt;0.05,"різниця значуща (p&lt;0,05)","різниця не досягла значущості"))),"")</f>
        <v>різниця дуже значуща (p&lt;0,001)</v>
      </c>
      <c r="O15" s="203">
        <v>10</v>
      </c>
      <c r="P15" s="231" t="str">
        <f>IFERROR(INDEX('2024_2026'!$B$2:$B$976,MATCH($O15,'2024_2026'!$A$2:$A$976,0)),"")</f>
        <v>L1</v>
      </c>
      <c r="Q15" s="324">
        <f>IFERROR(SUMIFS('2024_2026'!$G$2:$G$976,'2024_2026'!$A$2:$A$976,$O15,'2024_2026'!$F$2:$F$976,0),"")</f>
        <v>6.5</v>
      </c>
      <c r="R15" s="324">
        <f>IFERROR(SUMIFS('2024_2026'!$G$2:$G$976,'2024_2026'!$A$2:$A$976,$O15,'2024_2026'!$F$2:$F$976,21),"")</f>
        <v>3.9</v>
      </c>
      <c r="S15" s="325">
        <f t="shared" si="0"/>
        <v>0.57777777777777783</v>
      </c>
      <c r="T15" s="326">
        <f t="shared" si="1"/>
        <v>0.4</v>
      </c>
    </row>
    <row r="16" spans="1:20" ht="15" customHeight="1" x14ac:dyDescent="0.25">
      <c r="O16" s="203">
        <v>11</v>
      </c>
      <c r="P16" s="231" t="str">
        <f>IFERROR(INDEX('2024_2026'!$B$2:$B$976,MATCH($O16,'2024_2026'!$A$2:$A$976,0)),"")</f>
        <v>L1</v>
      </c>
      <c r="Q16" s="324">
        <f>IFERROR(SUMIFS('2024_2026'!$G$2:$G$976,'2024_2026'!$A$2:$A$976,$O16,'2024_2026'!$F$2:$F$976,0),"")</f>
        <v>6.4</v>
      </c>
      <c r="R16" s="324">
        <f>IFERROR(SUMIFS('2024_2026'!$G$2:$G$976,'2024_2026'!$A$2:$A$976,$O16,'2024_2026'!$F$2:$F$976,21),"")</f>
        <v>4</v>
      </c>
      <c r="S16" s="325">
        <f t="shared" si="0"/>
        <v>0.54545454545454553</v>
      </c>
      <c r="T16" s="326">
        <f t="shared" si="1"/>
        <v>0.37500000000000006</v>
      </c>
    </row>
    <row r="17" spans="1:20" ht="15" customHeight="1" x14ac:dyDescent="0.25">
      <c r="A17" s="357" t="s">
        <v>5076</v>
      </c>
      <c r="B17" s="357"/>
      <c r="C17" s="357"/>
      <c r="D17" s="357"/>
      <c r="E17" s="357"/>
      <c r="F17" s="357"/>
      <c r="G17" s="357"/>
      <c r="H17" s="357"/>
      <c r="I17" s="357"/>
      <c r="J17" s="357"/>
      <c r="K17" s="357"/>
      <c r="L17" s="357"/>
      <c r="O17" s="203">
        <v>12</v>
      </c>
      <c r="P17" s="231" t="str">
        <f>IFERROR(INDEX('2024_2026'!$B$2:$B$976,MATCH($O17,'2024_2026'!$A$2:$A$976,0)),"")</f>
        <v>L1</v>
      </c>
      <c r="Q17" s="324">
        <f>IFERROR(SUMIFS('2024_2026'!$G$2:$G$976,'2024_2026'!$A$2:$A$976,$O17,'2024_2026'!$F$2:$F$976,0),"")</f>
        <v>6.7</v>
      </c>
      <c r="R17" s="324">
        <f>IFERROR(SUMIFS('2024_2026'!$G$2:$G$976,'2024_2026'!$A$2:$A$976,$O17,'2024_2026'!$F$2:$F$976,21),"")</f>
        <v>4.3</v>
      </c>
      <c r="S17" s="325">
        <f t="shared" si="0"/>
        <v>0.5106382978723405</v>
      </c>
      <c r="T17" s="326">
        <f t="shared" si="1"/>
        <v>0.35820895522388063</v>
      </c>
    </row>
    <row r="18" spans="1:20" ht="15" customHeight="1" x14ac:dyDescent="0.25">
      <c r="A18" s="402" t="s">
        <v>5077</v>
      </c>
      <c r="B18" s="402"/>
      <c r="C18" s="402"/>
      <c r="D18" s="402"/>
      <c r="E18" s="402"/>
      <c r="F18" s="402"/>
      <c r="G18" s="402"/>
      <c r="H18" s="402"/>
      <c r="I18" s="402"/>
      <c r="J18" s="402"/>
      <c r="K18" s="402"/>
      <c r="L18" s="402"/>
      <c r="O18" s="203">
        <v>13</v>
      </c>
      <c r="P18" s="231" t="str">
        <f>IFERROR(INDEX('2024_2026'!$B$2:$B$976,MATCH($O18,'2024_2026'!$A$2:$A$976,0)),"")</f>
        <v>L1</v>
      </c>
      <c r="Q18" s="324">
        <f>IFERROR(SUMIFS('2024_2026'!$G$2:$G$976,'2024_2026'!$A$2:$A$976,$O18,'2024_2026'!$F$2:$F$976,0),"")</f>
        <v>7.6</v>
      </c>
      <c r="R18" s="324">
        <f>IFERROR(SUMIFS('2024_2026'!$G$2:$G$976,'2024_2026'!$A$2:$A$976,$O18,'2024_2026'!$F$2:$F$976,21),"")</f>
        <v>4.7</v>
      </c>
      <c r="S18" s="325">
        <f t="shared" si="0"/>
        <v>0.51785714285714279</v>
      </c>
      <c r="T18" s="326">
        <f t="shared" si="1"/>
        <v>0.38157894736842102</v>
      </c>
    </row>
    <row r="19" spans="1:20" ht="33.75" customHeight="1" x14ac:dyDescent="0.25">
      <c r="A19" s="16" t="s">
        <v>816</v>
      </c>
      <c r="B19" s="16" t="s">
        <v>849</v>
      </c>
      <c r="C19" s="16" t="s">
        <v>614</v>
      </c>
      <c r="D19" s="16"/>
      <c r="E19" s="16"/>
      <c r="F19" s="16"/>
      <c r="G19" s="16"/>
      <c r="H19" s="16"/>
      <c r="I19" s="16"/>
      <c r="J19" s="16"/>
      <c r="K19" s="16"/>
      <c r="L19" s="16"/>
      <c r="O19" s="203">
        <v>14</v>
      </c>
      <c r="P19" s="231" t="str">
        <f>IFERROR(INDEX('2024_2026'!$B$2:$B$976,MATCH($O19,'2024_2026'!$A$2:$A$976,0)),"")</f>
        <v>L1</v>
      </c>
      <c r="Q19" s="324">
        <f>IFERROR(SUMIFS('2024_2026'!$G$2:$G$976,'2024_2026'!$A$2:$A$976,$O19,'2024_2026'!$F$2:$F$976,0),"")</f>
        <v>6.6</v>
      </c>
      <c r="R19" s="324">
        <f>IFERROR(SUMIFS('2024_2026'!$G$2:$G$976,'2024_2026'!$A$2:$A$976,$O19,'2024_2026'!$F$2:$F$976,21),"")</f>
        <v>4.5999999999999996</v>
      </c>
      <c r="S19" s="325">
        <f t="shared" si="0"/>
        <v>0.43478260869565222</v>
      </c>
      <c r="T19" s="326">
        <f t="shared" si="1"/>
        <v>0.30303030303030304</v>
      </c>
    </row>
    <row r="20" spans="1:20" ht="21.75" customHeight="1" x14ac:dyDescent="0.25">
      <c r="A20" s="17" t="s">
        <v>5078</v>
      </c>
      <c r="B20" s="330">
        <f>'3_коефіцієнти_розширеного_аналі'!$D$2</f>
        <v>69</v>
      </c>
      <c r="C20" s="403" t="s">
        <v>5079</v>
      </c>
      <c r="D20" s="403"/>
      <c r="E20" s="403"/>
      <c r="F20" s="403"/>
      <c r="G20" s="403"/>
      <c r="H20" s="403"/>
      <c r="I20" s="403"/>
      <c r="J20" s="403"/>
      <c r="K20" s="403"/>
      <c r="L20" s="403"/>
      <c r="O20" s="203">
        <v>15</v>
      </c>
      <c r="P20" s="231" t="str">
        <f>IFERROR(INDEX('2024_2026'!$B$2:$B$976,MATCH($O20,'2024_2026'!$A$2:$A$976,0)),"")</f>
        <v>L1</v>
      </c>
      <c r="Q20" s="324">
        <f>IFERROR(SUMIFS('2024_2026'!$G$2:$G$976,'2024_2026'!$A$2:$A$976,$O20,'2024_2026'!$F$2:$F$976,0),"")</f>
        <v>6.9</v>
      </c>
      <c r="R20" s="324">
        <f>IFERROR(SUMIFS('2024_2026'!$G$2:$G$976,'2024_2026'!$A$2:$A$976,$O20,'2024_2026'!$F$2:$F$976,21),"")</f>
        <v>4.5999999999999996</v>
      </c>
      <c r="S20" s="325">
        <f t="shared" si="0"/>
        <v>0.46938775510204095</v>
      </c>
      <c r="T20" s="326">
        <f t="shared" si="1"/>
        <v>0.33333333333333343</v>
      </c>
    </row>
    <row r="21" spans="1:20" ht="21.75" customHeight="1" x14ac:dyDescent="0.25">
      <c r="A21" s="17" t="s">
        <v>5080</v>
      </c>
      <c r="B21" s="330">
        <f>'3_коефіцієнти_розширеного_аналі'!$K$2</f>
        <v>29.01</v>
      </c>
      <c r="C21" s="403" t="s">
        <v>5081</v>
      </c>
      <c r="D21" s="403"/>
      <c r="E21" s="403"/>
      <c r="F21" s="403"/>
      <c r="G21" s="403"/>
      <c r="H21" s="403"/>
      <c r="I21" s="403"/>
      <c r="J21" s="403"/>
      <c r="K21" s="403"/>
      <c r="L21" s="403"/>
      <c r="O21" s="203">
        <v>16</v>
      </c>
      <c r="P21" s="231" t="str">
        <f>IFERROR(INDEX('2024_2026'!$B$2:$B$976,MATCH($O21,'2024_2026'!$A$2:$A$976,0)),"")</f>
        <v>L1</v>
      </c>
      <c r="Q21" s="324">
        <f>IFERROR(SUMIFS('2024_2026'!$G$2:$G$976,'2024_2026'!$A$2:$A$976,$O21,'2024_2026'!$F$2:$F$976,0),"")</f>
        <v>5.8</v>
      </c>
      <c r="R21" s="324">
        <f>IFERROR(SUMIFS('2024_2026'!$G$2:$G$976,'2024_2026'!$A$2:$A$976,$O21,'2024_2026'!$F$2:$F$976,21),"")</f>
        <v>4.0999999999999996</v>
      </c>
      <c r="S21" s="325">
        <f t="shared" si="0"/>
        <v>0.44736842105263164</v>
      </c>
      <c r="T21" s="326">
        <f t="shared" si="1"/>
        <v>0.2931034482758621</v>
      </c>
    </row>
    <row r="22" spans="1:20" ht="21.75" customHeight="1" x14ac:dyDescent="0.25">
      <c r="A22" s="17" t="s">
        <v>5082</v>
      </c>
      <c r="B22" s="145">
        <f>IFERROR(MAX(0,MIN(1,($B$20-$B$21)/($B$20-20))),"")</f>
        <v>0.81612244897959174</v>
      </c>
      <c r="C22" s="403" t="s">
        <v>5083</v>
      </c>
      <c r="D22" s="403"/>
      <c r="E22" s="403"/>
      <c r="F22" s="403"/>
      <c r="G22" s="403"/>
      <c r="H22" s="403"/>
      <c r="I22" s="403"/>
      <c r="J22" s="403"/>
      <c r="K22" s="403"/>
      <c r="L22" s="403"/>
      <c r="O22" s="203">
        <v>17</v>
      </c>
      <c r="P22" s="231" t="str">
        <f>IFERROR(INDEX('2024_2026'!$B$2:$B$976,MATCH($O22,'2024_2026'!$A$2:$A$976,0)),"")</f>
        <v>L1</v>
      </c>
      <c r="Q22" s="324">
        <f>IFERROR(SUMIFS('2024_2026'!$G$2:$G$976,'2024_2026'!$A$2:$A$976,$O22,'2024_2026'!$F$2:$F$976,0),"")</f>
        <v>6.9</v>
      </c>
      <c r="R22" s="324">
        <f>IFERROR(SUMIFS('2024_2026'!$G$2:$G$976,'2024_2026'!$A$2:$A$976,$O22,'2024_2026'!$F$2:$F$976,21),"")</f>
        <v>4.5</v>
      </c>
      <c r="S22" s="325">
        <f t="shared" si="0"/>
        <v>0.48979591836734698</v>
      </c>
      <c r="T22" s="326">
        <f t="shared" si="1"/>
        <v>0.34782608695652178</v>
      </c>
    </row>
    <row r="23" spans="1:20" ht="21.75" customHeight="1" x14ac:dyDescent="0.25">
      <c r="A23" s="17" t="s">
        <v>5084</v>
      </c>
      <c r="B23" s="145">
        <f>AVERAGE($S$6:$S$200)</f>
        <v>0.5864500513197034</v>
      </c>
      <c r="C23" s="403" t="s">
        <v>5085</v>
      </c>
      <c r="D23" s="403"/>
      <c r="E23" s="403"/>
      <c r="F23" s="403"/>
      <c r="G23" s="403"/>
      <c r="H23" s="403"/>
      <c r="I23" s="403"/>
      <c r="J23" s="403"/>
      <c r="K23" s="403"/>
      <c r="L23" s="403"/>
      <c r="O23" s="203">
        <v>18</v>
      </c>
      <c r="P23" s="231" t="str">
        <f>IFERROR(INDEX('2024_2026'!$B$2:$B$976,MATCH($O23,'2024_2026'!$A$2:$A$976,0)),"")</f>
        <v>L1</v>
      </c>
      <c r="Q23" s="324">
        <f>IFERROR(SUMIFS('2024_2026'!$G$2:$G$976,'2024_2026'!$A$2:$A$976,$O23,'2024_2026'!$F$2:$F$976,0),"")</f>
        <v>6.9</v>
      </c>
      <c r="R23" s="324">
        <f>IFERROR(SUMIFS('2024_2026'!$G$2:$G$976,'2024_2026'!$A$2:$A$976,$O23,'2024_2026'!$F$2:$F$976,21),"")</f>
        <v>4.4000000000000004</v>
      </c>
      <c r="S23" s="325">
        <f t="shared" si="0"/>
        <v>0.51020408163265307</v>
      </c>
      <c r="T23" s="326">
        <f t="shared" si="1"/>
        <v>0.36231884057971014</v>
      </c>
    </row>
    <row r="24" spans="1:20" ht="21.75" customHeight="1" x14ac:dyDescent="0.25">
      <c r="A24" s="17" t="s">
        <v>5086</v>
      </c>
      <c r="B24" s="145">
        <f>STDEV($S$6:$S$200)</f>
        <v>0.1998237176084906</v>
      </c>
      <c r="C24" s="403" t="s">
        <v>5087</v>
      </c>
      <c r="D24" s="403"/>
      <c r="E24" s="403"/>
      <c r="F24" s="403"/>
      <c r="G24" s="403"/>
      <c r="H24" s="403"/>
      <c r="I24" s="403"/>
      <c r="J24" s="403"/>
      <c r="K24" s="403"/>
      <c r="L24" s="403"/>
      <c r="O24" s="203">
        <v>19</v>
      </c>
      <c r="P24" s="231" t="str">
        <f>IFERROR(INDEX('2024_2026'!$B$2:$B$976,MATCH($O24,'2024_2026'!$A$2:$A$976,0)),"")</f>
        <v>L1</v>
      </c>
      <c r="Q24" s="324">
        <f>IFERROR(SUMIFS('2024_2026'!$G$2:$G$976,'2024_2026'!$A$2:$A$976,$O24,'2024_2026'!$F$2:$F$976,0),"")</f>
        <v>6.8</v>
      </c>
      <c r="R24" s="324">
        <f>IFERROR(SUMIFS('2024_2026'!$G$2:$G$976,'2024_2026'!$A$2:$A$976,$O24,'2024_2026'!$F$2:$F$976,21),"")</f>
        <v>4.4000000000000004</v>
      </c>
      <c r="S24" s="325">
        <f t="shared" si="0"/>
        <v>0.49999999999999989</v>
      </c>
      <c r="T24" s="326">
        <f t="shared" si="1"/>
        <v>0.35294117647058815</v>
      </c>
    </row>
    <row r="25" spans="1:20" ht="21.75" customHeight="1" x14ac:dyDescent="0.25">
      <c r="A25" s="21" t="s">
        <v>5088</v>
      </c>
      <c r="B25" s="333">
        <f>IFERROR(($B$22-$B$23)/$B$24,"")</f>
        <v>1.1493750612221092</v>
      </c>
      <c r="C25" s="403" t="s">
        <v>5089</v>
      </c>
      <c r="D25" s="403"/>
      <c r="E25" s="403"/>
      <c r="F25" s="403"/>
      <c r="G25" s="403"/>
      <c r="H25" s="403"/>
      <c r="I25" s="403"/>
      <c r="J25" s="403"/>
      <c r="K25" s="403"/>
      <c r="L25" s="403"/>
      <c r="O25" s="203">
        <v>20</v>
      </c>
      <c r="P25" s="231" t="str">
        <f>IFERROR(INDEX('2024_2026'!$B$2:$B$976,MATCH($O25,'2024_2026'!$A$2:$A$976,0)),"")</f>
        <v>L1</v>
      </c>
      <c r="Q25" s="324">
        <f>IFERROR(SUMIFS('2024_2026'!$G$2:$G$976,'2024_2026'!$A$2:$A$976,$O25,'2024_2026'!$F$2:$F$976,0),"")</f>
        <v>7.1</v>
      </c>
      <c r="R25" s="324">
        <f>IFERROR(SUMIFS('2024_2026'!$G$2:$G$976,'2024_2026'!$A$2:$A$976,$O25,'2024_2026'!$F$2:$F$976,21),"")</f>
        <v>4.5</v>
      </c>
      <c r="S25" s="325">
        <f t="shared" si="0"/>
        <v>0.50980392156862742</v>
      </c>
      <c r="T25" s="326">
        <f t="shared" si="1"/>
        <v>0.36619718309859151</v>
      </c>
    </row>
    <row r="26" spans="1:20" ht="21.75" customHeight="1" x14ac:dyDescent="0.25">
      <c r="A26" s="21" t="s">
        <v>5090</v>
      </c>
      <c r="B26" s="334">
        <f>IFERROR(PERCENTRANK($S$6:$S$200,$B$22),"")</f>
        <v>0.83899999999999997</v>
      </c>
      <c r="C26" s="403" t="s">
        <v>5091</v>
      </c>
      <c r="D26" s="403"/>
      <c r="E26" s="403"/>
      <c r="F26" s="403"/>
      <c r="G26" s="403"/>
      <c r="H26" s="403"/>
      <c r="I26" s="403"/>
      <c r="J26" s="403"/>
      <c r="K26" s="403"/>
      <c r="L26" s="403"/>
      <c r="O26" s="203">
        <v>21</v>
      </c>
      <c r="P26" s="231" t="str">
        <f>IFERROR(INDEX('2024_2026'!$B$2:$B$976,MATCH($O26,'2024_2026'!$A$2:$A$976,0)),"")</f>
        <v>L1</v>
      </c>
      <c r="Q26" s="324">
        <f>IFERROR(SUMIFS('2024_2026'!$G$2:$G$976,'2024_2026'!$A$2:$A$976,$O26,'2024_2026'!$F$2:$F$976,0),"")</f>
        <v>7.1</v>
      </c>
      <c r="R26" s="324">
        <f>IFERROR(SUMIFS('2024_2026'!$G$2:$G$976,'2024_2026'!$A$2:$A$976,$O26,'2024_2026'!$F$2:$F$976,21),"")</f>
        <v>4.2</v>
      </c>
      <c r="S26" s="325">
        <f t="shared" si="0"/>
        <v>0.56862745098039214</v>
      </c>
      <c r="T26" s="326">
        <f t="shared" si="1"/>
        <v>0.40845070422535207</v>
      </c>
    </row>
    <row r="27" spans="1:20" ht="21.75" customHeight="1" x14ac:dyDescent="0.25">
      <c r="A27" s="21" t="s">
        <v>5092</v>
      </c>
      <c r="B27" s="335" t="str">
        <f>IFERROR(IF($B$26&gt;=0.75,"Помітно краще за когорту",IF($B$26&gt;=0.6,"Краще за середнє",IF($B$26&gt;=0.4,"У межах середнього",IF($B$26&gt;=0.25,"Гірше за середнє","Помітно гірше за когорту")))),"")</f>
        <v>Помітно краще за когорту</v>
      </c>
      <c r="C27" s="403" t="s">
        <v>5093</v>
      </c>
      <c r="D27" s="403"/>
      <c r="E27" s="403"/>
      <c r="F27" s="403"/>
      <c r="G27" s="403"/>
      <c r="H27" s="403"/>
      <c r="I27" s="403"/>
      <c r="J27" s="403"/>
      <c r="K27" s="403"/>
      <c r="L27" s="403"/>
      <c r="O27" s="203">
        <v>22</v>
      </c>
      <c r="P27" s="231" t="str">
        <f>IFERROR(INDEX('2024_2026'!$B$2:$B$976,MATCH($O27,'2024_2026'!$A$2:$A$976,0)),"")</f>
        <v>L1</v>
      </c>
      <c r="Q27" s="324">
        <f>IFERROR(SUMIFS('2024_2026'!$G$2:$G$976,'2024_2026'!$A$2:$A$976,$O27,'2024_2026'!$F$2:$F$976,0),"")</f>
        <v>7.2</v>
      </c>
      <c r="R27" s="324">
        <f>IFERROR(SUMIFS('2024_2026'!$G$2:$G$976,'2024_2026'!$A$2:$A$976,$O27,'2024_2026'!$F$2:$F$976,21),"")</f>
        <v>4.8</v>
      </c>
      <c r="S27" s="325">
        <f t="shared" si="0"/>
        <v>0.46153846153846156</v>
      </c>
      <c r="T27" s="326">
        <f t="shared" si="1"/>
        <v>0.33333333333333337</v>
      </c>
    </row>
    <row r="28" spans="1:20" ht="15" customHeight="1" x14ac:dyDescent="0.25">
      <c r="O28" s="203">
        <v>23</v>
      </c>
      <c r="P28" s="231" t="str">
        <f>IFERROR(INDEX('2024_2026'!$B$2:$B$976,MATCH($O28,'2024_2026'!$A$2:$A$976,0)),"")</f>
        <v>L1</v>
      </c>
      <c r="Q28" s="324">
        <f>IFERROR(SUMIFS('2024_2026'!$G$2:$G$976,'2024_2026'!$A$2:$A$976,$O28,'2024_2026'!$F$2:$F$976,0),"")</f>
        <v>6.5</v>
      </c>
      <c r="R28" s="324">
        <f>IFERROR(SUMIFS('2024_2026'!$G$2:$G$976,'2024_2026'!$A$2:$A$976,$O28,'2024_2026'!$F$2:$F$976,21),"")</f>
        <v>4.2</v>
      </c>
      <c r="S28" s="325">
        <f t="shared" si="0"/>
        <v>0.51111111111111107</v>
      </c>
      <c r="T28" s="326">
        <f t="shared" si="1"/>
        <v>0.35384615384615381</v>
      </c>
    </row>
    <row r="29" spans="1:20" ht="15" customHeight="1" x14ac:dyDescent="0.25">
      <c r="A29" s="402" t="s">
        <v>5094</v>
      </c>
      <c r="B29" s="402"/>
      <c r="C29" s="402"/>
      <c r="D29" s="402"/>
      <c r="E29" s="402"/>
      <c r="F29" s="402"/>
      <c r="G29" s="402"/>
      <c r="H29" s="402"/>
      <c r="I29" s="402"/>
      <c r="J29" s="402"/>
      <c r="K29" s="402"/>
      <c r="L29" s="402"/>
      <c r="O29" s="203">
        <v>24</v>
      </c>
      <c r="P29" s="231" t="str">
        <f>IFERROR(INDEX('2024_2026'!$B$2:$B$976,MATCH($O29,'2024_2026'!$A$2:$A$976,0)),"")</f>
        <v>L1</v>
      </c>
      <c r="Q29" s="324">
        <f>IFERROR(SUMIFS('2024_2026'!$G$2:$G$976,'2024_2026'!$A$2:$A$976,$O29,'2024_2026'!$F$2:$F$976,0),"")</f>
        <v>6.9</v>
      </c>
      <c r="R29" s="324">
        <f>IFERROR(SUMIFS('2024_2026'!$G$2:$G$976,'2024_2026'!$A$2:$A$976,$O29,'2024_2026'!$F$2:$F$976,21),"")</f>
        <v>4.4000000000000004</v>
      </c>
      <c r="S29" s="325">
        <f t="shared" si="0"/>
        <v>0.51020408163265307</v>
      </c>
      <c r="T29" s="326">
        <f t="shared" si="1"/>
        <v>0.36231884057971014</v>
      </c>
    </row>
    <row r="30" spans="1:20" ht="33.75" customHeight="1" x14ac:dyDescent="0.25">
      <c r="A30" s="16" t="s">
        <v>833</v>
      </c>
      <c r="B30" s="16" t="s">
        <v>5095</v>
      </c>
      <c r="C30" s="16" t="s">
        <v>5096</v>
      </c>
      <c r="D30" s="16" t="s">
        <v>5097</v>
      </c>
      <c r="E30" s="16" t="s">
        <v>5098</v>
      </c>
      <c r="F30" s="16" t="s">
        <v>5099</v>
      </c>
      <c r="G30" s="16" t="s">
        <v>5100</v>
      </c>
      <c r="H30" s="16" t="s">
        <v>5101</v>
      </c>
      <c r="I30" s="16" t="s">
        <v>5102</v>
      </c>
      <c r="J30" s="16" t="s">
        <v>4992</v>
      </c>
      <c r="K30" s="16"/>
      <c r="L30" s="16"/>
      <c r="O30" s="203">
        <v>25</v>
      </c>
      <c r="P30" s="231" t="str">
        <f>IFERROR(INDEX('2024_2026'!$B$2:$B$976,MATCH($O30,'2024_2026'!$A$2:$A$976,0)),"")</f>
        <v>L1</v>
      </c>
      <c r="Q30" s="324">
        <f>IFERROR(SUMIFS('2024_2026'!$G$2:$G$976,'2024_2026'!$A$2:$A$976,$O30,'2024_2026'!$F$2:$F$976,0),"")</f>
        <v>6.2</v>
      </c>
      <c r="R30" s="324">
        <f>IFERROR(SUMIFS('2024_2026'!$G$2:$G$976,'2024_2026'!$A$2:$A$976,$O30,'2024_2026'!$F$2:$F$976,21),"")</f>
        <v>4</v>
      </c>
      <c r="S30" s="325">
        <f t="shared" si="0"/>
        <v>0.52380952380952384</v>
      </c>
      <c r="T30" s="326">
        <f t="shared" si="1"/>
        <v>0.35483870967741937</v>
      </c>
    </row>
    <row r="31" spans="1:20" ht="19.5" customHeight="1" x14ac:dyDescent="0.25">
      <c r="A31" s="69" t="s">
        <v>269</v>
      </c>
      <c r="B31" s="300">
        <f>'6_Audit_Trail'!$G$102</f>
        <v>0.7718840274951706</v>
      </c>
      <c r="C31" s="74">
        <f>F1_Когортні_індекси!$G$29</f>
        <v>0.4219542028410283</v>
      </c>
      <c r="D31" s="74">
        <f>F1_Когортні_індекси!$G$30</f>
        <v>0.66632841936681353</v>
      </c>
      <c r="E31" s="74">
        <f>F1_Когортні_індекси!$G$31</f>
        <v>0.68493144729513944</v>
      </c>
      <c r="F31" s="74">
        <f>F1_Когортні_індекси!$G$32</f>
        <v>0.31019512417835488</v>
      </c>
      <c r="G31" s="280">
        <f>AVERAGE($C31:$E31)</f>
        <v>0.59107135650099385</v>
      </c>
      <c r="H31" s="336">
        <f>$B31-$G31</f>
        <v>0.18081267099417675</v>
      </c>
      <c r="I31" s="337" t="str">
        <f>IF(AND(ABS($C31-$B31)&lt;=ABS($D31-$B31),ABS($C31-$B31)&lt;=ABS($E31-$B31),ABS($C31-$B31)&lt;=ABS($F31-$B31)),"L1",IF(AND(ABS($D31-$B31)&lt;=ABS($E31-$B31),ABS($D31-$B31)&lt;=ABS($F31-$B31)),"L2",IF(ABS($E31-$B31)&lt;=ABS($F31-$B31),"L3","S")))</f>
        <v>L3</v>
      </c>
      <c r="J31" s="403" t="str">
        <f>IF($H31&gt;0.05,"Пацієнт випереджає середню основну групу",IF($H31&gt;-0.05,"На рівні основних груп","Відстає від основних груп"))</f>
        <v>Пацієнт випереджає середню основну групу</v>
      </c>
      <c r="K31" s="403"/>
      <c r="L31" s="403"/>
      <c r="O31" s="203">
        <v>26</v>
      </c>
      <c r="P31" s="231" t="str">
        <f>IFERROR(INDEX('2024_2026'!$B$2:$B$976,MATCH($O31,'2024_2026'!$A$2:$A$976,0)),"")</f>
        <v>L1</v>
      </c>
      <c r="Q31" s="324">
        <f>IFERROR(SUMIFS('2024_2026'!$G$2:$G$976,'2024_2026'!$A$2:$A$976,$O31,'2024_2026'!$F$2:$F$976,0),"")</f>
        <v>7.1</v>
      </c>
      <c r="R31" s="324">
        <f>IFERROR(SUMIFS('2024_2026'!$G$2:$G$976,'2024_2026'!$A$2:$A$976,$O31,'2024_2026'!$F$2:$F$976,21),"")</f>
        <v>4.4000000000000004</v>
      </c>
      <c r="S31" s="325">
        <f t="shared" si="0"/>
        <v>0.52941176470588225</v>
      </c>
      <c r="T31" s="326">
        <f t="shared" si="1"/>
        <v>0.38028169014084501</v>
      </c>
    </row>
    <row r="32" spans="1:20" ht="19.5" customHeight="1" x14ac:dyDescent="0.25">
      <c r="A32" s="69" t="s">
        <v>272</v>
      </c>
      <c r="B32" s="300">
        <f>'6_Audit_Trail'!$G$103</f>
        <v>0.66959371878121876</v>
      </c>
      <c r="C32" s="74">
        <f>F1_Когортні_індекси!$G$33</f>
        <v>0.38232620940385387</v>
      </c>
      <c r="D32" s="74">
        <f>F1_Когортні_індекси!$G$34</f>
        <v>0.62636052132399356</v>
      </c>
      <c r="E32" s="74">
        <f>F1_Когортні_індекси!$G$35</f>
        <v>0.67210344104511421</v>
      </c>
      <c r="F32" s="74">
        <f>F1_Когортні_індекси!$G$36</f>
        <v>0.26449361507355545</v>
      </c>
      <c r="G32" s="280">
        <f>AVERAGE($C32:$E32)</f>
        <v>0.56026339059098718</v>
      </c>
      <c r="H32" s="336">
        <f>$B32-$G32</f>
        <v>0.10933032819023158</v>
      </c>
      <c r="I32" s="337" t="str">
        <f>IF(AND(ABS($C32-$B32)&lt;=ABS($D32-$B32),ABS($C32-$B32)&lt;=ABS($E32-$B32),ABS($C32-$B32)&lt;=ABS($F32-$B32)),"L1",IF(AND(ABS($D32-$B32)&lt;=ABS($E32-$B32),ABS($D32-$B32)&lt;=ABS($F32-$B32)),"L2",IF(ABS($E32-$B32)&lt;=ABS($F32-$B32),"L3","S")))</f>
        <v>L3</v>
      </c>
      <c r="J32" s="403" t="str">
        <f>IF($H32&gt;0.05,"Пацієнт випереджає середню основну групу",IF($H32&gt;-0.05,"На рівні основних груп","Відстає від основних груп"))</f>
        <v>Пацієнт випереджає середню основну групу</v>
      </c>
      <c r="K32" s="403"/>
      <c r="L32" s="403"/>
      <c r="O32" s="203">
        <v>27</v>
      </c>
      <c r="P32" s="231" t="str">
        <f>IFERROR(INDEX('2024_2026'!$B$2:$B$976,MATCH($O32,'2024_2026'!$A$2:$A$976,0)),"")</f>
        <v>L1</v>
      </c>
      <c r="Q32" s="324">
        <f>IFERROR(SUMIFS('2024_2026'!$G$2:$G$976,'2024_2026'!$A$2:$A$976,$O32,'2024_2026'!$F$2:$F$976,0),"")</f>
        <v>6.7</v>
      </c>
      <c r="R32" s="324">
        <f>IFERROR(SUMIFS('2024_2026'!$G$2:$G$976,'2024_2026'!$A$2:$A$976,$O32,'2024_2026'!$F$2:$F$976,21),"")</f>
        <v>4.0999999999999996</v>
      </c>
      <c r="S32" s="325">
        <f t="shared" si="0"/>
        <v>0.55319148936170226</v>
      </c>
      <c r="T32" s="326">
        <f t="shared" si="1"/>
        <v>0.38805970149253738</v>
      </c>
    </row>
    <row r="33" spans="1:20" ht="19.5" customHeight="1" x14ac:dyDescent="0.25">
      <c r="A33" s="69" t="s">
        <v>278</v>
      </c>
      <c r="B33" s="300">
        <f>'6_Audit_Trail'!$G$104</f>
        <v>0.75958541221586739</v>
      </c>
      <c r="C33" s="74">
        <f>F1_Когортні_індекси!$G$37</f>
        <v>0.39953208559102427</v>
      </c>
      <c r="D33" s="74">
        <f>F1_Когортні_індекси!$G$38</f>
        <v>0.6081167280626727</v>
      </c>
      <c r="E33" s="74">
        <f>F1_Когортні_індекси!$G$39</f>
        <v>0.64664397425793185</v>
      </c>
      <c r="F33" s="74">
        <f>F1_Когортні_індекси!$G$40</f>
        <v>0.28617002524131796</v>
      </c>
      <c r="G33" s="280">
        <f>AVERAGE($C33:$E33)</f>
        <v>0.55143092930387627</v>
      </c>
      <c r="H33" s="336">
        <f>$B33-$G33</f>
        <v>0.20815448291199112</v>
      </c>
      <c r="I33" s="337" t="str">
        <f>IF(AND(ABS($C33-$B33)&lt;=ABS($D33-$B33),ABS($C33-$B33)&lt;=ABS($E33-$B33),ABS($C33-$B33)&lt;=ABS($F33-$B33)),"L1",IF(AND(ABS($D33-$B33)&lt;=ABS($E33-$B33),ABS($D33-$B33)&lt;=ABS($F33-$B33)),"L2",IF(ABS($E33-$B33)&lt;=ABS($F33-$B33),"L3","S")))</f>
        <v>L3</v>
      </c>
      <c r="J33" s="403" t="str">
        <f>IF($H33&gt;0.05,"Пацієнт випереджає середню основну групу",IF($H33&gt;-0.05,"На рівні основних груп","Відстає від основних груп"))</f>
        <v>Пацієнт випереджає середню основну групу</v>
      </c>
      <c r="K33" s="403"/>
      <c r="L33" s="403"/>
      <c r="O33" s="203">
        <v>28</v>
      </c>
      <c r="P33" s="231" t="str">
        <f>IFERROR(INDEX('2024_2026'!$B$2:$B$976,MATCH($O33,'2024_2026'!$A$2:$A$976,0)),"")</f>
        <v>L1</v>
      </c>
      <c r="Q33" s="324">
        <f>IFERROR(SUMIFS('2024_2026'!$G$2:$G$976,'2024_2026'!$A$2:$A$976,$O33,'2024_2026'!$F$2:$F$976,0),"")</f>
        <v>6.4</v>
      </c>
      <c r="R33" s="324">
        <f>IFERROR(SUMIFS('2024_2026'!$G$2:$G$976,'2024_2026'!$A$2:$A$976,$O33,'2024_2026'!$F$2:$F$976,21),"")</f>
        <v>4.3</v>
      </c>
      <c r="S33" s="325">
        <f t="shared" si="0"/>
        <v>0.47727272727272735</v>
      </c>
      <c r="T33" s="326">
        <f t="shared" si="1"/>
        <v>0.32812500000000006</v>
      </c>
    </row>
    <row r="34" spans="1:20" ht="19.5" customHeight="1" x14ac:dyDescent="0.25">
      <c r="A34" s="69" t="s">
        <v>281</v>
      </c>
      <c r="B34" s="300">
        <f>'6_Audit_Trail'!$G$105</f>
        <v>0.65753875534188033</v>
      </c>
      <c r="C34" s="74">
        <f>F1_Когортні_індекси!$G$41</f>
        <v>0.39356317884799152</v>
      </c>
      <c r="D34" s="74">
        <f>F1_Когортні_індекси!$G$42</f>
        <v>0.64506998209602917</v>
      </c>
      <c r="E34" s="74">
        <f>F1_Когортні_індекси!$G$43</f>
        <v>0.69526552826521593</v>
      </c>
      <c r="F34" s="74">
        <f>F1_Когортні_індекси!$G$44</f>
        <v>0.26900269767009338</v>
      </c>
      <c r="G34" s="280">
        <f>AVERAGE($C34:$E34)</f>
        <v>0.57796622973641221</v>
      </c>
      <c r="H34" s="336">
        <f>$B34-$G34</f>
        <v>7.9572525605468125E-2</v>
      </c>
      <c r="I34" s="337" t="str">
        <f>IF(AND(ABS($C34-$B34)&lt;=ABS($D34-$B34),ABS($C34-$B34)&lt;=ABS($E34-$B34),ABS($C34-$B34)&lt;=ABS($F34-$B34)),"L1",IF(AND(ABS($D34-$B34)&lt;=ABS($E34-$B34),ABS($D34-$B34)&lt;=ABS($F34-$B34)),"L2",IF(ABS($E34-$B34)&lt;=ABS($F34-$B34),"L3","S")))</f>
        <v>L2</v>
      </c>
      <c r="J34" s="403" t="str">
        <f>IF($H34&gt;0.05,"Пацієнт випереджає середню основну групу",IF($H34&gt;-0.05,"На рівні основних груп","Відстає від основних груп"))</f>
        <v>Пацієнт випереджає середню основну групу</v>
      </c>
      <c r="K34" s="403"/>
      <c r="L34" s="403"/>
      <c r="O34" s="203">
        <v>29</v>
      </c>
      <c r="P34" s="231" t="str">
        <f>IFERROR(INDEX('2024_2026'!$B$2:$B$976,MATCH($O34,'2024_2026'!$A$2:$A$976,0)),"")</f>
        <v>L1</v>
      </c>
      <c r="Q34" s="324">
        <f>IFERROR(SUMIFS('2024_2026'!$G$2:$G$976,'2024_2026'!$A$2:$A$976,$O34,'2024_2026'!$F$2:$F$976,0),"")</f>
        <v>7</v>
      </c>
      <c r="R34" s="324">
        <f>IFERROR(SUMIFS('2024_2026'!$G$2:$G$976,'2024_2026'!$A$2:$A$976,$O34,'2024_2026'!$F$2:$F$976,21),"")</f>
        <v>4.7</v>
      </c>
      <c r="S34" s="325">
        <f t="shared" si="0"/>
        <v>0.45999999999999996</v>
      </c>
      <c r="T34" s="326">
        <f t="shared" si="1"/>
        <v>0.32857142857142857</v>
      </c>
    </row>
    <row r="35" spans="1:20" ht="19.5" customHeight="1" x14ac:dyDescent="0.25">
      <c r="A35" s="69" t="s">
        <v>148</v>
      </c>
      <c r="B35" s="300">
        <f>'6_Audit_Trail'!$G$115</f>
        <v>0.75388224244166224</v>
      </c>
      <c r="C35" s="74">
        <f>F1_Когортні_індекси!$G$45</f>
        <v>0.40850821111105395</v>
      </c>
      <c r="D35" s="74">
        <f>F1_Когортні_індекси!$G$46</f>
        <v>0.64959477197009263</v>
      </c>
      <c r="E35" s="74">
        <f>F1_Когортні_індекси!$G$47</f>
        <v>0.68113622586268197</v>
      </c>
      <c r="F35" s="74">
        <f>F1_Когортні_індекси!$G$48</f>
        <v>0.29060530669480183</v>
      </c>
      <c r="G35" s="280">
        <f>AVERAGE($C35:$E35)</f>
        <v>0.57974640298127611</v>
      </c>
      <c r="H35" s="336">
        <f>$B35-$G35</f>
        <v>0.17413583946038613</v>
      </c>
      <c r="I35" s="337" t="str">
        <f>IF(AND(ABS($C35-$B35)&lt;=ABS($D35-$B35),ABS($C35-$B35)&lt;=ABS($E35-$B35),ABS($C35-$B35)&lt;=ABS($F35-$B35)),"L1",IF(AND(ABS($D35-$B35)&lt;=ABS($E35-$B35),ABS($D35-$B35)&lt;=ABS($F35-$B35)),"L2",IF(ABS($E35-$B35)&lt;=ABS($F35-$B35),"L3","S")))</f>
        <v>L3</v>
      </c>
      <c r="J35" s="403" t="str">
        <f>IF($H35&gt;0.05,"Пацієнт випереджає середню основну групу",IF($H35&gt;-0.05,"На рівні основних груп","Відстає від основних груп"))</f>
        <v>Пацієнт випереджає середню основну групу</v>
      </c>
      <c r="K35" s="403"/>
      <c r="L35" s="403"/>
      <c r="O35" s="203">
        <v>30</v>
      </c>
      <c r="P35" s="231" t="str">
        <f>IFERROR(INDEX('2024_2026'!$B$2:$B$976,MATCH($O35,'2024_2026'!$A$2:$A$976,0)),"")</f>
        <v>L1</v>
      </c>
      <c r="Q35" s="324">
        <f>IFERROR(SUMIFS('2024_2026'!$G$2:$G$976,'2024_2026'!$A$2:$A$976,$O35,'2024_2026'!$F$2:$F$976,0),"")</f>
        <v>6.4</v>
      </c>
      <c r="R35" s="324">
        <f>IFERROR(SUMIFS('2024_2026'!$G$2:$G$976,'2024_2026'!$A$2:$A$976,$O35,'2024_2026'!$F$2:$F$976,21),"")</f>
        <v>4</v>
      </c>
      <c r="S35" s="325">
        <f t="shared" si="0"/>
        <v>0.54545454545454553</v>
      </c>
      <c r="T35" s="326">
        <f t="shared" si="1"/>
        <v>0.37500000000000006</v>
      </c>
    </row>
    <row r="36" spans="1:20" ht="15" customHeight="1" x14ac:dyDescent="0.25">
      <c r="O36" s="203">
        <v>31</v>
      </c>
      <c r="P36" s="231" t="str">
        <f>IFERROR(INDEX('2024_2026'!$B$2:$B$976,MATCH($O36,'2024_2026'!$A$2:$A$976,0)),"")</f>
        <v>L1</v>
      </c>
      <c r="Q36" s="324">
        <f>IFERROR(SUMIFS('2024_2026'!$G$2:$G$976,'2024_2026'!$A$2:$A$976,$O36,'2024_2026'!$F$2:$F$976,0),"")</f>
        <v>6.9</v>
      </c>
      <c r="R36" s="324">
        <f>IFERROR(SUMIFS('2024_2026'!$G$2:$G$976,'2024_2026'!$A$2:$A$976,$O36,'2024_2026'!$F$2:$F$976,21),"")</f>
        <v>4.2</v>
      </c>
      <c r="S36" s="325">
        <f t="shared" si="0"/>
        <v>0.55102040816326525</v>
      </c>
      <c r="T36" s="326">
        <f t="shared" si="1"/>
        <v>0.39130434782608697</v>
      </c>
    </row>
    <row r="37" spans="1:20" ht="15" customHeight="1" x14ac:dyDescent="0.25">
      <c r="A37" s="357" t="s">
        <v>5103</v>
      </c>
      <c r="B37" s="357"/>
      <c r="C37" s="357"/>
      <c r="D37" s="357"/>
      <c r="E37" s="357"/>
      <c r="F37" s="357"/>
      <c r="G37" s="357"/>
      <c r="H37" s="357"/>
      <c r="I37" s="357"/>
      <c r="J37" s="357"/>
      <c r="K37" s="357"/>
      <c r="L37" s="357"/>
      <c r="O37" s="203">
        <v>32</v>
      </c>
      <c r="P37" s="231" t="str">
        <f>IFERROR(INDEX('2024_2026'!$B$2:$B$976,MATCH($O37,'2024_2026'!$A$2:$A$976,0)),"")</f>
        <v>L1</v>
      </c>
      <c r="Q37" s="324">
        <f>IFERROR(SUMIFS('2024_2026'!$G$2:$G$976,'2024_2026'!$A$2:$A$976,$O37,'2024_2026'!$F$2:$F$976,0),"")</f>
        <v>6.9</v>
      </c>
      <c r="R37" s="324">
        <f>IFERROR(SUMIFS('2024_2026'!$G$2:$G$976,'2024_2026'!$A$2:$A$976,$O37,'2024_2026'!$F$2:$F$976,21),"")</f>
        <v>4.4000000000000004</v>
      </c>
      <c r="S37" s="325">
        <f t="shared" si="0"/>
        <v>0.51020408163265307</v>
      </c>
      <c r="T37" s="326">
        <f t="shared" si="1"/>
        <v>0.36231884057971014</v>
      </c>
    </row>
    <row r="38" spans="1:20" ht="49.5" customHeight="1" x14ac:dyDescent="0.25">
      <c r="A38" s="360" t="s">
        <v>5104</v>
      </c>
      <c r="B38" s="360"/>
      <c r="C38" s="361" t="s">
        <v>5105</v>
      </c>
      <c r="D38" s="361"/>
      <c r="E38" s="361"/>
      <c r="F38" s="361"/>
      <c r="G38" s="361"/>
      <c r="H38" s="361"/>
      <c r="I38" s="361"/>
      <c r="J38" s="361"/>
      <c r="K38" s="361"/>
      <c r="L38" s="361"/>
      <c r="O38" s="203">
        <v>33</v>
      </c>
      <c r="P38" s="231" t="str">
        <f>IFERROR(INDEX('2024_2026'!$B$2:$B$976,MATCH($O38,'2024_2026'!$A$2:$A$976,0)),"")</f>
        <v>L1</v>
      </c>
      <c r="Q38" s="324">
        <f>IFERROR(SUMIFS('2024_2026'!$G$2:$G$976,'2024_2026'!$A$2:$A$976,$O38,'2024_2026'!$F$2:$F$976,0),"")</f>
        <v>6.8</v>
      </c>
      <c r="R38" s="324">
        <f>IFERROR(SUMIFS('2024_2026'!$G$2:$G$976,'2024_2026'!$A$2:$A$976,$O38,'2024_2026'!$F$2:$F$976,21),"")</f>
        <v>4.5999999999999996</v>
      </c>
      <c r="S38" s="325">
        <f t="shared" ref="S38:S69" si="2">IFERROR(MAX(0,MIN(1,($Q38-$R38)/($Q38-2))),"")</f>
        <v>0.45833333333333337</v>
      </c>
      <c r="T38" s="326">
        <f t="shared" ref="T38:T69" si="3">IFERROR(($Q38-$R38)/$Q38,"")</f>
        <v>0.3235294117647059</v>
      </c>
    </row>
    <row r="39" spans="1:20" ht="49.5" customHeight="1" x14ac:dyDescent="0.25">
      <c r="A39" s="360" t="s">
        <v>5106</v>
      </c>
      <c r="B39" s="360"/>
      <c r="C39" s="361" t="s">
        <v>5107</v>
      </c>
      <c r="D39" s="361"/>
      <c r="E39" s="361"/>
      <c r="F39" s="361"/>
      <c r="G39" s="361"/>
      <c r="H39" s="361"/>
      <c r="I39" s="361"/>
      <c r="J39" s="361"/>
      <c r="K39" s="361"/>
      <c r="L39" s="361"/>
      <c r="O39" s="203">
        <v>34</v>
      </c>
      <c r="P39" s="231" t="str">
        <f>IFERROR(INDEX('2024_2026'!$B$2:$B$976,MATCH($O39,'2024_2026'!$A$2:$A$976,0)),"")</f>
        <v>L1</v>
      </c>
      <c r="Q39" s="324">
        <f>IFERROR(SUMIFS('2024_2026'!$G$2:$G$976,'2024_2026'!$A$2:$A$976,$O39,'2024_2026'!$F$2:$F$976,0),"")</f>
        <v>6.5</v>
      </c>
      <c r="R39" s="324">
        <f>IFERROR(SUMIFS('2024_2026'!$G$2:$G$976,'2024_2026'!$A$2:$A$976,$O39,'2024_2026'!$F$2:$F$976,21),"")</f>
        <v>4.3</v>
      </c>
      <c r="S39" s="325">
        <f t="shared" si="2"/>
        <v>0.48888888888888893</v>
      </c>
      <c r="T39" s="326">
        <f t="shared" si="3"/>
        <v>0.33846153846153848</v>
      </c>
    </row>
    <row r="40" spans="1:20" ht="49.5" customHeight="1" x14ac:dyDescent="0.25">
      <c r="A40" s="387" t="s">
        <v>5108</v>
      </c>
      <c r="B40" s="387"/>
      <c r="C40" s="388" t="s">
        <v>5109</v>
      </c>
      <c r="D40" s="388"/>
      <c r="E40" s="388"/>
      <c r="F40" s="388"/>
      <c r="G40" s="388"/>
      <c r="H40" s="388"/>
      <c r="I40" s="388"/>
      <c r="J40" s="388"/>
      <c r="K40" s="388"/>
      <c r="L40" s="388"/>
      <c r="O40" s="203">
        <v>35</v>
      </c>
      <c r="P40" s="231" t="str">
        <f>IFERROR(INDEX('2024_2026'!$B$2:$B$976,MATCH($O40,'2024_2026'!$A$2:$A$976,0)),"")</f>
        <v>L1</v>
      </c>
      <c r="Q40" s="324">
        <f>IFERROR(SUMIFS('2024_2026'!$G$2:$G$976,'2024_2026'!$A$2:$A$976,$O40,'2024_2026'!$F$2:$F$976,0),"")</f>
        <v>6.5</v>
      </c>
      <c r="R40" s="324">
        <f>IFERROR(SUMIFS('2024_2026'!$G$2:$G$976,'2024_2026'!$A$2:$A$976,$O40,'2024_2026'!$F$2:$F$976,21),"")</f>
        <v>4.0999999999999996</v>
      </c>
      <c r="S40" s="325">
        <f t="shared" si="2"/>
        <v>0.53333333333333344</v>
      </c>
      <c r="T40" s="326">
        <f t="shared" si="3"/>
        <v>0.36923076923076931</v>
      </c>
    </row>
    <row r="41" spans="1:20" ht="49.5" customHeight="1" x14ac:dyDescent="0.25">
      <c r="A41" s="387" t="s">
        <v>5110</v>
      </c>
      <c r="B41" s="387"/>
      <c r="C41" s="388" t="s">
        <v>5111</v>
      </c>
      <c r="D41" s="388"/>
      <c r="E41" s="388"/>
      <c r="F41" s="388"/>
      <c r="G41" s="388"/>
      <c r="H41" s="388"/>
      <c r="I41" s="388"/>
      <c r="J41" s="388"/>
      <c r="K41" s="388"/>
      <c r="L41" s="388"/>
      <c r="O41" s="203">
        <v>36</v>
      </c>
      <c r="P41" s="231" t="str">
        <f>IFERROR(INDEX('2024_2026'!$B$2:$B$976,MATCH($O41,'2024_2026'!$A$2:$A$976,0)),"")</f>
        <v>L1</v>
      </c>
      <c r="Q41" s="324">
        <f>IFERROR(SUMIFS('2024_2026'!$G$2:$G$976,'2024_2026'!$A$2:$A$976,$O41,'2024_2026'!$F$2:$F$976,0),"")</f>
        <v>7.1</v>
      </c>
      <c r="R41" s="324">
        <f>IFERROR(SUMIFS('2024_2026'!$G$2:$G$976,'2024_2026'!$A$2:$A$976,$O41,'2024_2026'!$F$2:$F$976,21),"")</f>
        <v>4.7</v>
      </c>
      <c r="S41" s="325">
        <f t="shared" si="2"/>
        <v>0.47058823529411759</v>
      </c>
      <c r="T41" s="326">
        <f t="shared" si="3"/>
        <v>0.33802816901408445</v>
      </c>
    </row>
    <row r="42" spans="1:20" ht="49.5" customHeight="1" x14ac:dyDescent="0.25">
      <c r="A42" s="387" t="s">
        <v>5112</v>
      </c>
      <c r="B42" s="387"/>
      <c r="C42" s="388" t="s">
        <v>5113</v>
      </c>
      <c r="D42" s="388"/>
      <c r="E42" s="388"/>
      <c r="F42" s="388"/>
      <c r="G42" s="388"/>
      <c r="H42" s="388"/>
      <c r="I42" s="388"/>
      <c r="J42" s="388"/>
      <c r="K42" s="388"/>
      <c r="L42" s="388"/>
      <c r="O42" s="203">
        <v>37</v>
      </c>
      <c r="P42" s="231" t="str">
        <f>IFERROR(INDEX('2024_2026'!$B$2:$B$976,MATCH($O42,'2024_2026'!$A$2:$A$976,0)),"")</f>
        <v>L1</v>
      </c>
      <c r="Q42" s="324">
        <f>IFERROR(SUMIFS('2024_2026'!$G$2:$G$976,'2024_2026'!$A$2:$A$976,$O42,'2024_2026'!$F$2:$F$976,0),"")</f>
        <v>6.1</v>
      </c>
      <c r="R42" s="324">
        <f>IFERROR(SUMIFS('2024_2026'!$G$2:$G$976,'2024_2026'!$A$2:$A$976,$O42,'2024_2026'!$F$2:$F$976,21),"")</f>
        <v>4.2</v>
      </c>
      <c r="S42" s="325">
        <f t="shared" si="2"/>
        <v>0.46341463414634138</v>
      </c>
      <c r="T42" s="326">
        <f t="shared" si="3"/>
        <v>0.31147540983606553</v>
      </c>
    </row>
    <row r="43" spans="1:20" ht="49.5" customHeight="1" x14ac:dyDescent="0.25">
      <c r="A43" s="360" t="s">
        <v>5114</v>
      </c>
      <c r="B43" s="360"/>
      <c r="C43" s="361" t="s">
        <v>5115</v>
      </c>
      <c r="D43" s="361"/>
      <c r="E43" s="361"/>
      <c r="F43" s="361"/>
      <c r="G43" s="361"/>
      <c r="H43" s="361"/>
      <c r="I43" s="361"/>
      <c r="J43" s="361"/>
      <c r="K43" s="361"/>
      <c r="L43" s="361"/>
      <c r="O43" s="203">
        <v>38</v>
      </c>
      <c r="P43" s="231" t="str">
        <f>IFERROR(INDEX('2024_2026'!$B$2:$B$976,MATCH($O43,'2024_2026'!$A$2:$A$976,0)),"")</f>
        <v>L1</v>
      </c>
      <c r="Q43" s="324">
        <f>IFERROR(SUMIFS('2024_2026'!$G$2:$G$976,'2024_2026'!$A$2:$A$976,$O43,'2024_2026'!$F$2:$F$976,0),"")</f>
        <v>6.2</v>
      </c>
      <c r="R43" s="324">
        <f>IFERROR(SUMIFS('2024_2026'!$G$2:$G$976,'2024_2026'!$A$2:$A$976,$O43,'2024_2026'!$F$2:$F$976,21),"")</f>
        <v>4.5</v>
      </c>
      <c r="S43" s="325">
        <f t="shared" si="2"/>
        <v>0.40476190476190477</v>
      </c>
      <c r="T43" s="326">
        <f t="shared" si="3"/>
        <v>0.27419354838709681</v>
      </c>
    </row>
    <row r="44" spans="1:20" ht="49.5" customHeight="1" x14ac:dyDescent="0.25">
      <c r="A44" s="387" t="s">
        <v>5031</v>
      </c>
      <c r="B44" s="387"/>
      <c r="C44" s="388" t="s">
        <v>5116</v>
      </c>
      <c r="D44" s="388"/>
      <c r="E44" s="388"/>
      <c r="F44" s="388"/>
      <c r="G44" s="388"/>
      <c r="H44" s="388"/>
      <c r="I44" s="388"/>
      <c r="J44" s="388"/>
      <c r="K44" s="388"/>
      <c r="L44" s="388"/>
      <c r="O44" s="203">
        <v>39</v>
      </c>
      <c r="P44" s="231" t="str">
        <f>IFERROR(INDEX('2024_2026'!$B$2:$B$976,MATCH($O44,'2024_2026'!$A$2:$A$976,0)),"")</f>
        <v>L1</v>
      </c>
      <c r="Q44" s="324">
        <f>IFERROR(SUMIFS('2024_2026'!$G$2:$G$976,'2024_2026'!$A$2:$A$976,$O44,'2024_2026'!$F$2:$F$976,0),"")</f>
        <v>6.8</v>
      </c>
      <c r="R44" s="324">
        <f>IFERROR(SUMIFS('2024_2026'!$G$2:$G$976,'2024_2026'!$A$2:$A$976,$O44,'2024_2026'!$F$2:$F$976,21),"")</f>
        <v>4.5</v>
      </c>
      <c r="S44" s="325">
        <f t="shared" si="2"/>
        <v>0.47916666666666663</v>
      </c>
      <c r="T44" s="326">
        <f t="shared" si="3"/>
        <v>0.33823529411764702</v>
      </c>
    </row>
    <row r="45" spans="1:20" ht="15" customHeight="1" x14ac:dyDescent="0.25">
      <c r="O45" s="203">
        <v>40</v>
      </c>
      <c r="P45" s="231" t="str">
        <f>IFERROR(INDEX('2024_2026'!$B$2:$B$976,MATCH($O45,'2024_2026'!$A$2:$A$976,0)),"")</f>
        <v>L1</v>
      </c>
      <c r="Q45" s="324">
        <f>IFERROR(SUMIFS('2024_2026'!$G$2:$G$976,'2024_2026'!$A$2:$A$976,$O45,'2024_2026'!$F$2:$F$976,0),"")</f>
        <v>7.8</v>
      </c>
      <c r="R45" s="324">
        <f>IFERROR(SUMIFS('2024_2026'!$G$2:$G$976,'2024_2026'!$A$2:$A$976,$O45,'2024_2026'!$F$2:$F$976,21),"")</f>
        <v>5.0999999999999996</v>
      </c>
      <c r="S45" s="325">
        <f t="shared" si="2"/>
        <v>0.46551724137931039</v>
      </c>
      <c r="T45" s="326">
        <f t="shared" si="3"/>
        <v>0.3461538461538462</v>
      </c>
    </row>
    <row r="46" spans="1:20" ht="15" customHeight="1" x14ac:dyDescent="0.25">
      <c r="O46" s="203">
        <v>41</v>
      </c>
      <c r="P46" s="231" t="str">
        <f>IFERROR(INDEX('2024_2026'!$B$2:$B$976,MATCH($O46,'2024_2026'!$A$2:$A$976,0)),"")</f>
        <v>L1</v>
      </c>
      <c r="Q46" s="324">
        <f>IFERROR(SUMIFS('2024_2026'!$G$2:$G$976,'2024_2026'!$A$2:$A$976,$O46,'2024_2026'!$F$2:$F$976,0),"")</f>
        <v>8</v>
      </c>
      <c r="R46" s="324">
        <f>IFERROR(SUMIFS('2024_2026'!$G$2:$G$976,'2024_2026'!$A$2:$A$976,$O46,'2024_2026'!$F$2:$F$976,21),"")</f>
        <v>5</v>
      </c>
      <c r="S46" s="325">
        <f t="shared" si="2"/>
        <v>0.5</v>
      </c>
      <c r="T46" s="326">
        <f t="shared" si="3"/>
        <v>0.375</v>
      </c>
    </row>
    <row r="47" spans="1:20" ht="15" customHeight="1" x14ac:dyDescent="0.25">
      <c r="O47" s="203">
        <v>42</v>
      </c>
      <c r="P47" s="231" t="str">
        <f>IFERROR(INDEX('2024_2026'!$B$2:$B$976,MATCH($O47,'2024_2026'!$A$2:$A$976,0)),"")</f>
        <v>L1</v>
      </c>
      <c r="Q47" s="324">
        <f>IFERROR(SUMIFS('2024_2026'!$G$2:$G$976,'2024_2026'!$A$2:$A$976,$O47,'2024_2026'!$F$2:$F$976,0),"")</f>
        <v>7.3</v>
      </c>
      <c r="R47" s="324">
        <f>IFERROR(SUMIFS('2024_2026'!$G$2:$G$976,'2024_2026'!$A$2:$A$976,$O47,'2024_2026'!$F$2:$F$976,21),"")</f>
        <v>4.5999999999999996</v>
      </c>
      <c r="S47" s="325">
        <f t="shared" si="2"/>
        <v>0.50943396226415094</v>
      </c>
      <c r="T47" s="326">
        <f t="shared" si="3"/>
        <v>0.36986301369863017</v>
      </c>
    </row>
    <row r="48" spans="1:20" ht="15" customHeight="1" x14ac:dyDescent="0.25">
      <c r="O48" s="203">
        <v>43</v>
      </c>
      <c r="P48" s="231" t="str">
        <f>IFERROR(INDEX('2024_2026'!$B$2:$B$976,MATCH($O48,'2024_2026'!$A$2:$A$976,0)),"")</f>
        <v>L2</v>
      </c>
      <c r="Q48" s="324">
        <f>IFERROR(SUMIFS('2024_2026'!$G$2:$G$976,'2024_2026'!$A$2:$A$976,$O48,'2024_2026'!$F$2:$F$976,0),"")</f>
        <v>6.8</v>
      </c>
      <c r="R48" s="324">
        <f>IFERROR(SUMIFS('2024_2026'!$G$2:$G$976,'2024_2026'!$A$2:$A$976,$O48,'2024_2026'!$F$2:$F$976,21),"")</f>
        <v>3</v>
      </c>
      <c r="S48" s="325">
        <f t="shared" si="2"/>
        <v>0.79166666666666663</v>
      </c>
      <c r="T48" s="326">
        <f t="shared" si="3"/>
        <v>0.55882352941176472</v>
      </c>
    </row>
    <row r="49" spans="15:20" ht="15" customHeight="1" x14ac:dyDescent="0.25">
      <c r="O49" s="203">
        <v>44</v>
      </c>
      <c r="P49" s="231" t="str">
        <f>IFERROR(INDEX('2024_2026'!$B$2:$B$976,MATCH($O49,'2024_2026'!$A$2:$A$976,0)),"")</f>
        <v>L2</v>
      </c>
      <c r="Q49" s="324">
        <f>IFERROR(SUMIFS('2024_2026'!$G$2:$G$976,'2024_2026'!$A$2:$A$976,$O49,'2024_2026'!$F$2:$F$976,0),"")</f>
        <v>7.7</v>
      </c>
      <c r="R49" s="324">
        <f>IFERROR(SUMIFS('2024_2026'!$G$2:$G$976,'2024_2026'!$A$2:$A$976,$O49,'2024_2026'!$F$2:$F$976,21),"")</f>
        <v>3.3</v>
      </c>
      <c r="S49" s="325">
        <f t="shared" si="2"/>
        <v>0.77192982456140358</v>
      </c>
      <c r="T49" s="326">
        <f t="shared" si="3"/>
        <v>0.57142857142857151</v>
      </c>
    </row>
    <row r="50" spans="15:20" ht="15" customHeight="1" x14ac:dyDescent="0.25">
      <c r="O50" s="203">
        <v>45</v>
      </c>
      <c r="P50" s="231" t="str">
        <f>IFERROR(INDEX('2024_2026'!$B$2:$B$976,MATCH($O50,'2024_2026'!$A$2:$A$976,0)),"")</f>
        <v>L2</v>
      </c>
      <c r="Q50" s="324">
        <f>IFERROR(SUMIFS('2024_2026'!$G$2:$G$976,'2024_2026'!$A$2:$A$976,$O50,'2024_2026'!$F$2:$F$976,0),"")</f>
        <v>6.4</v>
      </c>
      <c r="R50" s="324">
        <f>IFERROR(SUMIFS('2024_2026'!$G$2:$G$976,'2024_2026'!$A$2:$A$976,$O50,'2024_2026'!$F$2:$F$976,21),"")</f>
        <v>3</v>
      </c>
      <c r="S50" s="325">
        <f t="shared" si="2"/>
        <v>0.77272727272727271</v>
      </c>
      <c r="T50" s="326">
        <f t="shared" si="3"/>
        <v>0.53125</v>
      </c>
    </row>
    <row r="51" spans="15:20" ht="15" customHeight="1" x14ac:dyDescent="0.25">
      <c r="O51" s="203">
        <v>46</v>
      </c>
      <c r="P51" s="231" t="str">
        <f>IFERROR(INDEX('2024_2026'!$B$2:$B$976,MATCH($O51,'2024_2026'!$A$2:$A$976,0)),"")</f>
        <v>L2</v>
      </c>
      <c r="Q51" s="324">
        <f>IFERROR(SUMIFS('2024_2026'!$G$2:$G$976,'2024_2026'!$A$2:$A$976,$O51,'2024_2026'!$F$2:$F$976,0),"")</f>
        <v>6.7</v>
      </c>
      <c r="R51" s="324">
        <f>IFERROR(SUMIFS('2024_2026'!$G$2:$G$976,'2024_2026'!$A$2:$A$976,$O51,'2024_2026'!$F$2:$F$976,21),"")</f>
        <v>3.1</v>
      </c>
      <c r="S51" s="325">
        <f t="shared" si="2"/>
        <v>0.76595744680851063</v>
      </c>
      <c r="T51" s="326">
        <f t="shared" si="3"/>
        <v>0.53731343283582089</v>
      </c>
    </row>
    <row r="52" spans="15:20" ht="15" customHeight="1" x14ac:dyDescent="0.25">
      <c r="O52" s="203">
        <v>47</v>
      </c>
      <c r="P52" s="231" t="str">
        <f>IFERROR(INDEX('2024_2026'!$B$2:$B$976,MATCH($O52,'2024_2026'!$A$2:$A$976,0)),"")</f>
        <v>L2</v>
      </c>
      <c r="Q52" s="324">
        <f>IFERROR(SUMIFS('2024_2026'!$G$2:$G$976,'2024_2026'!$A$2:$A$976,$O52,'2024_2026'!$F$2:$F$976,0),"")</f>
        <v>6.9</v>
      </c>
      <c r="R52" s="324">
        <f>IFERROR(SUMIFS('2024_2026'!$G$2:$G$976,'2024_2026'!$A$2:$A$976,$O52,'2024_2026'!$F$2:$F$976,21),"")</f>
        <v>2.9</v>
      </c>
      <c r="S52" s="325">
        <f t="shared" si="2"/>
        <v>0.81632653061224481</v>
      </c>
      <c r="T52" s="326">
        <f t="shared" si="3"/>
        <v>0.57971014492753625</v>
      </c>
    </row>
    <row r="53" spans="15:20" ht="15" customHeight="1" x14ac:dyDescent="0.25">
      <c r="O53" s="203">
        <v>48</v>
      </c>
      <c r="P53" s="231" t="str">
        <f>IFERROR(INDEX('2024_2026'!$B$2:$B$976,MATCH($O53,'2024_2026'!$A$2:$A$976,0)),"")</f>
        <v>L2</v>
      </c>
      <c r="Q53" s="324">
        <f>IFERROR(SUMIFS('2024_2026'!$G$2:$G$976,'2024_2026'!$A$2:$A$976,$O53,'2024_2026'!$F$2:$F$976,0),"")</f>
        <v>7.4</v>
      </c>
      <c r="R53" s="324">
        <f>IFERROR(SUMIFS('2024_2026'!$G$2:$G$976,'2024_2026'!$A$2:$A$976,$O53,'2024_2026'!$F$2:$F$976,21),"")</f>
        <v>3.4</v>
      </c>
      <c r="S53" s="325">
        <f t="shared" si="2"/>
        <v>0.7407407407407407</v>
      </c>
      <c r="T53" s="326">
        <f t="shared" si="3"/>
        <v>0.54054054054054046</v>
      </c>
    </row>
    <row r="54" spans="15:20" ht="15" customHeight="1" x14ac:dyDescent="0.25">
      <c r="O54" s="203">
        <v>49</v>
      </c>
      <c r="P54" s="231" t="str">
        <f>IFERROR(INDEX('2024_2026'!$B$2:$B$976,MATCH($O54,'2024_2026'!$A$2:$A$976,0)),"")</f>
        <v>L2</v>
      </c>
      <c r="Q54" s="324">
        <f>IFERROR(SUMIFS('2024_2026'!$G$2:$G$976,'2024_2026'!$A$2:$A$976,$O54,'2024_2026'!$F$2:$F$976,0),"")</f>
        <v>6.2</v>
      </c>
      <c r="R54" s="324">
        <f>IFERROR(SUMIFS('2024_2026'!$G$2:$G$976,'2024_2026'!$A$2:$A$976,$O54,'2024_2026'!$F$2:$F$976,21),"")</f>
        <v>2.7</v>
      </c>
      <c r="S54" s="325">
        <f t="shared" si="2"/>
        <v>0.83333333333333326</v>
      </c>
      <c r="T54" s="326">
        <f t="shared" si="3"/>
        <v>0.56451612903225801</v>
      </c>
    </row>
    <row r="55" spans="15:20" ht="15" customHeight="1" x14ac:dyDescent="0.25">
      <c r="O55" s="203">
        <v>50</v>
      </c>
      <c r="P55" s="231" t="str">
        <f>IFERROR(INDEX('2024_2026'!$B$2:$B$976,MATCH($O55,'2024_2026'!$A$2:$A$976,0)),"")</f>
        <v>L2</v>
      </c>
      <c r="Q55" s="324">
        <f>IFERROR(SUMIFS('2024_2026'!$G$2:$G$976,'2024_2026'!$A$2:$A$976,$O55,'2024_2026'!$F$2:$F$976,0),"")</f>
        <v>6.4</v>
      </c>
      <c r="R55" s="324">
        <f>IFERROR(SUMIFS('2024_2026'!$G$2:$G$976,'2024_2026'!$A$2:$A$976,$O55,'2024_2026'!$F$2:$F$976,21),"")</f>
        <v>2.8</v>
      </c>
      <c r="S55" s="325">
        <f t="shared" si="2"/>
        <v>0.81818181818181823</v>
      </c>
      <c r="T55" s="326">
        <f t="shared" si="3"/>
        <v>0.5625</v>
      </c>
    </row>
    <row r="56" spans="15:20" ht="15" customHeight="1" x14ac:dyDescent="0.25">
      <c r="O56" s="203">
        <v>51</v>
      </c>
      <c r="P56" s="231" t="str">
        <f>IFERROR(INDEX('2024_2026'!$B$2:$B$976,MATCH($O56,'2024_2026'!$A$2:$A$976,0)),"")</f>
        <v>L2</v>
      </c>
      <c r="Q56" s="324">
        <f>IFERROR(SUMIFS('2024_2026'!$G$2:$G$976,'2024_2026'!$A$2:$A$976,$O56,'2024_2026'!$F$2:$F$976,0),"")</f>
        <v>6.9</v>
      </c>
      <c r="R56" s="324">
        <f>IFERROR(SUMIFS('2024_2026'!$G$2:$G$976,'2024_2026'!$A$2:$A$976,$O56,'2024_2026'!$F$2:$F$976,21),"")</f>
        <v>3.3</v>
      </c>
      <c r="S56" s="325">
        <f t="shared" si="2"/>
        <v>0.73469387755102045</v>
      </c>
      <c r="T56" s="326">
        <f t="shared" si="3"/>
        <v>0.52173913043478271</v>
      </c>
    </row>
    <row r="57" spans="15:20" ht="15" customHeight="1" x14ac:dyDescent="0.25">
      <c r="O57" s="203">
        <v>52</v>
      </c>
      <c r="P57" s="231" t="str">
        <f>IFERROR(INDEX('2024_2026'!$B$2:$B$976,MATCH($O57,'2024_2026'!$A$2:$A$976,0)),"")</f>
        <v>L2</v>
      </c>
      <c r="Q57" s="324">
        <f>IFERROR(SUMIFS('2024_2026'!$G$2:$G$976,'2024_2026'!$A$2:$A$976,$O57,'2024_2026'!$F$2:$F$976,0),"")</f>
        <v>6.9</v>
      </c>
      <c r="R57" s="324">
        <f>IFERROR(SUMIFS('2024_2026'!$G$2:$G$976,'2024_2026'!$A$2:$A$976,$O57,'2024_2026'!$F$2:$F$976,21),"")</f>
        <v>3.1</v>
      </c>
      <c r="S57" s="325">
        <f t="shared" si="2"/>
        <v>0.77551020408163263</v>
      </c>
      <c r="T57" s="326">
        <f t="shared" si="3"/>
        <v>0.55072463768115942</v>
      </c>
    </row>
    <row r="58" spans="15:20" ht="15" customHeight="1" x14ac:dyDescent="0.25">
      <c r="O58" s="203">
        <v>53</v>
      </c>
      <c r="P58" s="231" t="str">
        <f>IFERROR(INDEX('2024_2026'!$B$2:$B$976,MATCH($O58,'2024_2026'!$A$2:$A$976,0)),"")</f>
        <v>L2</v>
      </c>
      <c r="Q58" s="324">
        <f>IFERROR(SUMIFS('2024_2026'!$G$2:$G$976,'2024_2026'!$A$2:$A$976,$O58,'2024_2026'!$F$2:$F$976,0),"")</f>
        <v>6.8</v>
      </c>
      <c r="R58" s="324">
        <f>IFERROR(SUMIFS('2024_2026'!$G$2:$G$976,'2024_2026'!$A$2:$A$976,$O58,'2024_2026'!$F$2:$F$976,21),"")</f>
        <v>3.1</v>
      </c>
      <c r="S58" s="325">
        <f t="shared" si="2"/>
        <v>0.77083333333333326</v>
      </c>
      <c r="T58" s="326">
        <f t="shared" si="3"/>
        <v>0.54411764705882348</v>
      </c>
    </row>
    <row r="59" spans="15:20" ht="15" customHeight="1" x14ac:dyDescent="0.25">
      <c r="O59" s="203">
        <v>54</v>
      </c>
      <c r="P59" s="231" t="str">
        <f>IFERROR(INDEX('2024_2026'!$B$2:$B$976,MATCH($O59,'2024_2026'!$A$2:$A$976,0)),"")</f>
        <v>L2</v>
      </c>
      <c r="Q59" s="324">
        <f>IFERROR(SUMIFS('2024_2026'!$G$2:$G$976,'2024_2026'!$A$2:$A$976,$O59,'2024_2026'!$F$2:$F$976,0),"")</f>
        <v>6.9</v>
      </c>
      <c r="R59" s="324">
        <f>IFERROR(SUMIFS('2024_2026'!$G$2:$G$976,'2024_2026'!$A$2:$A$976,$O59,'2024_2026'!$F$2:$F$976,21),"")</f>
        <v>2.9</v>
      </c>
      <c r="S59" s="325">
        <f t="shared" si="2"/>
        <v>0.81632653061224481</v>
      </c>
      <c r="T59" s="326">
        <f t="shared" si="3"/>
        <v>0.57971014492753625</v>
      </c>
    </row>
    <row r="60" spans="15:20" ht="15" customHeight="1" x14ac:dyDescent="0.25">
      <c r="O60" s="203">
        <v>55</v>
      </c>
      <c r="P60" s="231" t="str">
        <f>IFERROR(INDEX('2024_2026'!$B$2:$B$976,MATCH($O60,'2024_2026'!$A$2:$A$976,0)),"")</f>
        <v>L2</v>
      </c>
      <c r="Q60" s="324">
        <f>IFERROR(SUMIFS('2024_2026'!$G$2:$G$976,'2024_2026'!$A$2:$A$976,$O60,'2024_2026'!$F$2:$F$976,0),"")</f>
        <v>7.8</v>
      </c>
      <c r="R60" s="324">
        <f>IFERROR(SUMIFS('2024_2026'!$G$2:$G$976,'2024_2026'!$A$2:$A$976,$O60,'2024_2026'!$F$2:$F$976,21),"")</f>
        <v>3.9</v>
      </c>
      <c r="S60" s="325">
        <f t="shared" si="2"/>
        <v>0.67241379310344829</v>
      </c>
      <c r="T60" s="326">
        <f t="shared" si="3"/>
        <v>0.5</v>
      </c>
    </row>
    <row r="61" spans="15:20" ht="15" customHeight="1" x14ac:dyDescent="0.25">
      <c r="O61" s="203">
        <v>56</v>
      </c>
      <c r="P61" s="231" t="str">
        <f>IFERROR(INDEX('2024_2026'!$B$2:$B$976,MATCH($O61,'2024_2026'!$A$2:$A$976,0)),"")</f>
        <v>L2</v>
      </c>
      <c r="Q61" s="324">
        <f>IFERROR(SUMIFS('2024_2026'!$G$2:$G$976,'2024_2026'!$A$2:$A$976,$O61,'2024_2026'!$F$2:$F$976,0),"")</f>
        <v>6.9</v>
      </c>
      <c r="R61" s="324">
        <f>IFERROR(SUMIFS('2024_2026'!$G$2:$G$976,'2024_2026'!$A$2:$A$976,$O61,'2024_2026'!$F$2:$F$976,21),"")</f>
        <v>3.2</v>
      </c>
      <c r="S61" s="325">
        <f t="shared" si="2"/>
        <v>0.75510204081632648</v>
      </c>
      <c r="T61" s="326">
        <f t="shared" si="3"/>
        <v>0.53623188405797106</v>
      </c>
    </row>
    <row r="62" spans="15:20" ht="15" customHeight="1" x14ac:dyDescent="0.25">
      <c r="O62" s="203">
        <v>57</v>
      </c>
      <c r="P62" s="231" t="str">
        <f>IFERROR(INDEX('2024_2026'!$B$2:$B$976,MATCH($O62,'2024_2026'!$A$2:$A$976,0)),"")</f>
        <v>L2</v>
      </c>
      <c r="Q62" s="324">
        <f>IFERROR(SUMIFS('2024_2026'!$G$2:$G$976,'2024_2026'!$A$2:$A$976,$O62,'2024_2026'!$F$2:$F$976,0),"")</f>
        <v>6.8</v>
      </c>
      <c r="R62" s="324">
        <f>IFERROR(SUMIFS('2024_2026'!$G$2:$G$976,'2024_2026'!$A$2:$A$976,$O62,'2024_2026'!$F$2:$F$976,21),"")</f>
        <v>3.2</v>
      </c>
      <c r="S62" s="325">
        <f t="shared" si="2"/>
        <v>0.75</v>
      </c>
      <c r="T62" s="326">
        <f t="shared" si="3"/>
        <v>0.52941176470588236</v>
      </c>
    </row>
    <row r="63" spans="15:20" ht="15" customHeight="1" x14ac:dyDescent="0.25">
      <c r="O63" s="203">
        <v>58</v>
      </c>
      <c r="P63" s="231" t="str">
        <f>IFERROR(INDEX('2024_2026'!$B$2:$B$976,MATCH($O63,'2024_2026'!$A$2:$A$976,0)),"")</f>
        <v>L2</v>
      </c>
      <c r="Q63" s="324">
        <f>IFERROR(SUMIFS('2024_2026'!$G$2:$G$976,'2024_2026'!$A$2:$A$976,$O63,'2024_2026'!$F$2:$F$976,0),"")</f>
        <v>7.5</v>
      </c>
      <c r="R63" s="324">
        <f>IFERROR(SUMIFS('2024_2026'!$G$2:$G$976,'2024_2026'!$A$2:$A$976,$O63,'2024_2026'!$F$2:$F$976,21),"")</f>
        <v>3.2</v>
      </c>
      <c r="S63" s="325">
        <f t="shared" si="2"/>
        <v>0.78181818181818175</v>
      </c>
      <c r="T63" s="326">
        <f t="shared" si="3"/>
        <v>0.57333333333333336</v>
      </c>
    </row>
    <row r="64" spans="15:20" ht="15" customHeight="1" x14ac:dyDescent="0.25">
      <c r="O64" s="203">
        <v>59</v>
      </c>
      <c r="P64" s="231" t="str">
        <f>IFERROR(INDEX('2024_2026'!$B$2:$B$976,MATCH($O64,'2024_2026'!$A$2:$A$976,0)),"")</f>
        <v>L2</v>
      </c>
      <c r="Q64" s="324">
        <f>IFERROR(SUMIFS('2024_2026'!$G$2:$G$976,'2024_2026'!$A$2:$A$976,$O64,'2024_2026'!$F$2:$F$976,0),"")</f>
        <v>7.7</v>
      </c>
      <c r="R64" s="324">
        <f>IFERROR(SUMIFS('2024_2026'!$G$2:$G$976,'2024_2026'!$A$2:$A$976,$O64,'2024_2026'!$F$2:$F$976,21),"")</f>
        <v>3.3</v>
      </c>
      <c r="S64" s="325">
        <f t="shared" si="2"/>
        <v>0.77192982456140358</v>
      </c>
      <c r="T64" s="326">
        <f t="shared" si="3"/>
        <v>0.57142857142857151</v>
      </c>
    </row>
    <row r="65" spans="15:20" ht="15" customHeight="1" x14ac:dyDescent="0.25">
      <c r="O65" s="203">
        <v>60</v>
      </c>
      <c r="P65" s="231" t="str">
        <f>IFERROR(INDEX('2024_2026'!$B$2:$B$976,MATCH($O65,'2024_2026'!$A$2:$A$976,0)),"")</f>
        <v>L2</v>
      </c>
      <c r="Q65" s="324">
        <f>IFERROR(SUMIFS('2024_2026'!$G$2:$G$976,'2024_2026'!$A$2:$A$976,$O65,'2024_2026'!$F$2:$F$976,0),"")</f>
        <v>6.5</v>
      </c>
      <c r="R65" s="324">
        <f>IFERROR(SUMIFS('2024_2026'!$G$2:$G$976,'2024_2026'!$A$2:$A$976,$O65,'2024_2026'!$F$2:$F$976,21),"")</f>
        <v>3</v>
      </c>
      <c r="S65" s="325">
        <f t="shared" si="2"/>
        <v>0.77777777777777779</v>
      </c>
      <c r="T65" s="326">
        <f t="shared" si="3"/>
        <v>0.53846153846153844</v>
      </c>
    </row>
    <row r="66" spans="15:20" ht="15" customHeight="1" x14ac:dyDescent="0.25">
      <c r="O66" s="203">
        <v>61</v>
      </c>
      <c r="P66" s="231" t="str">
        <f>IFERROR(INDEX('2024_2026'!$B$2:$B$976,MATCH($O66,'2024_2026'!$A$2:$A$976,0)),"")</f>
        <v>L2</v>
      </c>
      <c r="Q66" s="324">
        <f>IFERROR(SUMIFS('2024_2026'!$G$2:$G$976,'2024_2026'!$A$2:$A$976,$O66,'2024_2026'!$F$2:$F$976,0),"")</f>
        <v>6.7</v>
      </c>
      <c r="R66" s="324">
        <f>IFERROR(SUMIFS('2024_2026'!$G$2:$G$976,'2024_2026'!$A$2:$A$976,$O66,'2024_2026'!$F$2:$F$976,21),"")</f>
        <v>2.9</v>
      </c>
      <c r="S66" s="325">
        <f t="shared" si="2"/>
        <v>0.8085106382978724</v>
      </c>
      <c r="T66" s="326">
        <f t="shared" si="3"/>
        <v>0.56716417910447758</v>
      </c>
    </row>
    <row r="67" spans="15:20" ht="15" customHeight="1" x14ac:dyDescent="0.25">
      <c r="O67" s="203">
        <v>62</v>
      </c>
      <c r="P67" s="231" t="str">
        <f>IFERROR(INDEX('2024_2026'!$B$2:$B$976,MATCH($O67,'2024_2026'!$A$2:$A$976,0)),"")</f>
        <v>L2</v>
      </c>
      <c r="Q67" s="324">
        <f>IFERROR(SUMIFS('2024_2026'!$G$2:$G$976,'2024_2026'!$A$2:$A$976,$O67,'2024_2026'!$F$2:$F$976,0),"")</f>
        <v>6.8</v>
      </c>
      <c r="R67" s="324">
        <f>IFERROR(SUMIFS('2024_2026'!$G$2:$G$976,'2024_2026'!$A$2:$A$976,$O67,'2024_2026'!$F$2:$F$976,21),"")</f>
        <v>3</v>
      </c>
      <c r="S67" s="325">
        <f t="shared" si="2"/>
        <v>0.79166666666666663</v>
      </c>
      <c r="T67" s="326">
        <f t="shared" si="3"/>
        <v>0.55882352941176472</v>
      </c>
    </row>
    <row r="68" spans="15:20" ht="15" customHeight="1" x14ac:dyDescent="0.25">
      <c r="O68" s="203">
        <v>63</v>
      </c>
      <c r="P68" s="231" t="str">
        <f>IFERROR(INDEX('2024_2026'!$B$2:$B$976,MATCH($O68,'2024_2026'!$A$2:$A$976,0)),"")</f>
        <v>L2</v>
      </c>
      <c r="Q68" s="324">
        <f>IFERROR(SUMIFS('2024_2026'!$G$2:$G$976,'2024_2026'!$A$2:$A$976,$O68,'2024_2026'!$F$2:$F$976,0),"")</f>
        <v>6.9</v>
      </c>
      <c r="R68" s="324">
        <f>IFERROR(SUMIFS('2024_2026'!$G$2:$G$976,'2024_2026'!$A$2:$A$976,$O68,'2024_2026'!$F$2:$F$976,21),"")</f>
        <v>3</v>
      </c>
      <c r="S68" s="325">
        <f t="shared" si="2"/>
        <v>0.79591836734693877</v>
      </c>
      <c r="T68" s="326">
        <f t="shared" si="3"/>
        <v>0.56521739130434789</v>
      </c>
    </row>
    <row r="69" spans="15:20" ht="15" customHeight="1" x14ac:dyDescent="0.25">
      <c r="O69" s="203">
        <v>64</v>
      </c>
      <c r="P69" s="231" t="str">
        <f>IFERROR(INDEX('2024_2026'!$B$2:$B$976,MATCH($O69,'2024_2026'!$A$2:$A$976,0)),"")</f>
        <v>L2</v>
      </c>
      <c r="Q69" s="324">
        <f>IFERROR(SUMIFS('2024_2026'!$G$2:$G$976,'2024_2026'!$A$2:$A$976,$O69,'2024_2026'!$F$2:$F$976,0),"")</f>
        <v>7</v>
      </c>
      <c r="R69" s="324">
        <f>IFERROR(SUMIFS('2024_2026'!$G$2:$G$976,'2024_2026'!$A$2:$A$976,$O69,'2024_2026'!$F$2:$F$976,21),"")</f>
        <v>3.3</v>
      </c>
      <c r="S69" s="325">
        <f t="shared" si="2"/>
        <v>0.74</v>
      </c>
      <c r="T69" s="326">
        <f t="shared" si="3"/>
        <v>0.52857142857142858</v>
      </c>
    </row>
    <row r="70" spans="15:20" ht="15" customHeight="1" x14ac:dyDescent="0.25">
      <c r="O70" s="203">
        <v>65</v>
      </c>
      <c r="P70" s="231" t="str">
        <f>IFERROR(INDEX('2024_2026'!$B$2:$B$976,MATCH($O70,'2024_2026'!$A$2:$A$976,0)),"")</f>
        <v>L2</v>
      </c>
      <c r="Q70" s="324">
        <f>IFERROR(SUMIFS('2024_2026'!$G$2:$G$976,'2024_2026'!$A$2:$A$976,$O70,'2024_2026'!$F$2:$F$976,0),"")</f>
        <v>7.3</v>
      </c>
      <c r="R70" s="324">
        <f>IFERROR(SUMIFS('2024_2026'!$G$2:$G$976,'2024_2026'!$A$2:$A$976,$O70,'2024_2026'!$F$2:$F$976,21),"")</f>
        <v>3.3</v>
      </c>
      <c r="S70" s="325">
        <f t="shared" ref="S70:S101" si="4">IFERROR(MAX(0,MIN(1,($Q70-$R70)/($Q70-2))),"")</f>
        <v>0.75471698113207553</v>
      </c>
      <c r="T70" s="326">
        <f t="shared" ref="T70:T101" si="5">IFERROR(($Q70-$R70)/$Q70,"")</f>
        <v>0.54794520547945202</v>
      </c>
    </row>
    <row r="71" spans="15:20" ht="15" customHeight="1" x14ac:dyDescent="0.25">
      <c r="O71" s="203">
        <v>66</v>
      </c>
      <c r="P71" s="231" t="str">
        <f>IFERROR(INDEX('2024_2026'!$B$2:$B$976,MATCH($O71,'2024_2026'!$A$2:$A$976,0)),"")</f>
        <v>L2</v>
      </c>
      <c r="Q71" s="324">
        <f>IFERROR(SUMIFS('2024_2026'!$G$2:$G$976,'2024_2026'!$A$2:$A$976,$O71,'2024_2026'!$F$2:$F$976,0),"")</f>
        <v>6.9</v>
      </c>
      <c r="R71" s="324">
        <f>IFERROR(SUMIFS('2024_2026'!$G$2:$G$976,'2024_2026'!$A$2:$A$976,$O71,'2024_2026'!$F$2:$F$976,21),"")</f>
        <v>3</v>
      </c>
      <c r="S71" s="325">
        <f t="shared" si="4"/>
        <v>0.79591836734693877</v>
      </c>
      <c r="T71" s="326">
        <f t="shared" si="5"/>
        <v>0.56521739130434789</v>
      </c>
    </row>
    <row r="72" spans="15:20" ht="15" customHeight="1" x14ac:dyDescent="0.25">
      <c r="O72" s="203">
        <v>67</v>
      </c>
      <c r="P72" s="231" t="str">
        <f>IFERROR(INDEX('2024_2026'!$B$2:$B$976,MATCH($O72,'2024_2026'!$A$2:$A$976,0)),"")</f>
        <v>L2</v>
      </c>
      <c r="Q72" s="324">
        <f>IFERROR(SUMIFS('2024_2026'!$G$2:$G$976,'2024_2026'!$A$2:$A$976,$O72,'2024_2026'!$F$2:$F$976,0),"")</f>
        <v>7</v>
      </c>
      <c r="R72" s="324">
        <f>IFERROR(SUMIFS('2024_2026'!$G$2:$G$976,'2024_2026'!$A$2:$A$976,$O72,'2024_2026'!$F$2:$F$976,21),"")</f>
        <v>2.9</v>
      </c>
      <c r="S72" s="325">
        <f t="shared" si="4"/>
        <v>0.82</v>
      </c>
      <c r="T72" s="326">
        <f t="shared" si="5"/>
        <v>0.58571428571428563</v>
      </c>
    </row>
    <row r="73" spans="15:20" ht="15" customHeight="1" x14ac:dyDescent="0.25">
      <c r="O73" s="203">
        <v>68</v>
      </c>
      <c r="P73" s="231" t="str">
        <f>IFERROR(INDEX('2024_2026'!$B$2:$B$976,MATCH($O73,'2024_2026'!$A$2:$A$976,0)),"")</f>
        <v>L2</v>
      </c>
      <c r="Q73" s="324">
        <f>IFERROR(SUMIFS('2024_2026'!$G$2:$G$976,'2024_2026'!$A$2:$A$976,$O73,'2024_2026'!$F$2:$F$976,0),"")</f>
        <v>7</v>
      </c>
      <c r="R73" s="324">
        <f>IFERROR(SUMIFS('2024_2026'!$G$2:$G$976,'2024_2026'!$A$2:$A$976,$O73,'2024_2026'!$F$2:$F$976,21),"")</f>
        <v>3.1</v>
      </c>
      <c r="S73" s="325">
        <f t="shared" si="4"/>
        <v>0.78</v>
      </c>
      <c r="T73" s="326">
        <f t="shared" si="5"/>
        <v>0.55714285714285716</v>
      </c>
    </row>
    <row r="74" spans="15:20" ht="15" customHeight="1" x14ac:dyDescent="0.25">
      <c r="O74" s="203">
        <v>69</v>
      </c>
      <c r="P74" s="231" t="str">
        <f>IFERROR(INDEX('2024_2026'!$B$2:$B$976,MATCH($O74,'2024_2026'!$A$2:$A$976,0)),"")</f>
        <v>L2</v>
      </c>
      <c r="Q74" s="324">
        <f>IFERROR(SUMIFS('2024_2026'!$G$2:$G$976,'2024_2026'!$A$2:$A$976,$O74,'2024_2026'!$F$2:$F$976,0),"")</f>
        <v>6.8</v>
      </c>
      <c r="R74" s="324">
        <f>IFERROR(SUMIFS('2024_2026'!$G$2:$G$976,'2024_2026'!$A$2:$A$976,$O74,'2024_2026'!$F$2:$F$976,21),"")</f>
        <v>3.3</v>
      </c>
      <c r="S74" s="325">
        <f t="shared" si="4"/>
        <v>0.72916666666666674</v>
      </c>
      <c r="T74" s="326">
        <f t="shared" si="5"/>
        <v>0.51470588235294124</v>
      </c>
    </row>
    <row r="75" spans="15:20" ht="15" customHeight="1" x14ac:dyDescent="0.25">
      <c r="O75" s="203">
        <v>70</v>
      </c>
      <c r="P75" s="231" t="str">
        <f>IFERROR(INDEX('2024_2026'!$B$2:$B$976,MATCH($O75,'2024_2026'!$A$2:$A$976,0)),"")</f>
        <v>L2</v>
      </c>
      <c r="Q75" s="324">
        <f>IFERROR(SUMIFS('2024_2026'!$G$2:$G$976,'2024_2026'!$A$2:$A$976,$O75,'2024_2026'!$F$2:$F$976,0),"")</f>
        <v>6.5</v>
      </c>
      <c r="R75" s="324">
        <f>IFERROR(SUMIFS('2024_2026'!$G$2:$G$976,'2024_2026'!$A$2:$A$976,$O75,'2024_2026'!$F$2:$F$976,21),"")</f>
        <v>2.8</v>
      </c>
      <c r="S75" s="325">
        <f t="shared" si="4"/>
        <v>0.8222222222222223</v>
      </c>
      <c r="T75" s="326">
        <f t="shared" si="5"/>
        <v>0.56923076923076921</v>
      </c>
    </row>
    <row r="76" spans="15:20" ht="15" customHeight="1" x14ac:dyDescent="0.25">
      <c r="O76" s="203">
        <v>71</v>
      </c>
      <c r="P76" s="231" t="str">
        <f>IFERROR(INDEX('2024_2026'!$B$2:$B$976,MATCH($O76,'2024_2026'!$A$2:$A$976,0)),"")</f>
        <v>L2</v>
      </c>
      <c r="Q76" s="324">
        <f>IFERROR(SUMIFS('2024_2026'!$G$2:$G$976,'2024_2026'!$A$2:$A$976,$O76,'2024_2026'!$F$2:$F$976,0),"")</f>
        <v>6.3</v>
      </c>
      <c r="R76" s="324">
        <f>IFERROR(SUMIFS('2024_2026'!$G$2:$G$976,'2024_2026'!$A$2:$A$976,$O76,'2024_2026'!$F$2:$F$976,21),"")</f>
        <v>2.9</v>
      </c>
      <c r="S76" s="325">
        <f t="shared" si="4"/>
        <v>0.79069767441860461</v>
      </c>
      <c r="T76" s="326">
        <f t="shared" si="5"/>
        <v>0.53968253968253965</v>
      </c>
    </row>
    <row r="77" spans="15:20" ht="15" customHeight="1" x14ac:dyDescent="0.25">
      <c r="O77" s="203">
        <v>72</v>
      </c>
      <c r="P77" s="231" t="str">
        <f>IFERROR(INDEX('2024_2026'!$B$2:$B$976,MATCH($O77,'2024_2026'!$A$2:$A$976,0)),"")</f>
        <v>L2</v>
      </c>
      <c r="Q77" s="324">
        <f>IFERROR(SUMIFS('2024_2026'!$G$2:$G$976,'2024_2026'!$A$2:$A$976,$O77,'2024_2026'!$F$2:$F$976,0),"")</f>
        <v>7.2</v>
      </c>
      <c r="R77" s="324">
        <f>IFERROR(SUMIFS('2024_2026'!$G$2:$G$976,'2024_2026'!$A$2:$A$976,$O77,'2024_2026'!$F$2:$F$976,21),"")</f>
        <v>3.2</v>
      </c>
      <c r="S77" s="325">
        <f t="shared" si="4"/>
        <v>0.76923076923076916</v>
      </c>
      <c r="T77" s="326">
        <f t="shared" si="5"/>
        <v>0.55555555555555558</v>
      </c>
    </row>
    <row r="78" spans="15:20" ht="15" customHeight="1" x14ac:dyDescent="0.25">
      <c r="O78" s="203">
        <v>73</v>
      </c>
      <c r="P78" s="231" t="str">
        <f>IFERROR(INDEX('2024_2026'!$B$2:$B$976,MATCH($O78,'2024_2026'!$A$2:$A$976,0)),"")</f>
        <v>L2</v>
      </c>
      <c r="Q78" s="324">
        <f>IFERROR(SUMIFS('2024_2026'!$G$2:$G$976,'2024_2026'!$A$2:$A$976,$O78,'2024_2026'!$F$2:$F$976,0),"")</f>
        <v>6.9</v>
      </c>
      <c r="R78" s="324">
        <f>IFERROR(SUMIFS('2024_2026'!$G$2:$G$976,'2024_2026'!$A$2:$A$976,$O78,'2024_2026'!$F$2:$F$976,21),"")</f>
        <v>2.7</v>
      </c>
      <c r="S78" s="325">
        <f t="shared" si="4"/>
        <v>0.8571428571428571</v>
      </c>
      <c r="T78" s="326">
        <f t="shared" si="5"/>
        <v>0.60869565217391308</v>
      </c>
    </row>
    <row r="79" spans="15:20" ht="15" customHeight="1" x14ac:dyDescent="0.25">
      <c r="O79" s="203">
        <v>74</v>
      </c>
      <c r="P79" s="231" t="str">
        <f>IFERROR(INDEX('2024_2026'!$B$2:$B$976,MATCH($O79,'2024_2026'!$A$2:$A$976,0)),"")</f>
        <v>L2</v>
      </c>
      <c r="Q79" s="324">
        <f>IFERROR(SUMIFS('2024_2026'!$G$2:$G$976,'2024_2026'!$A$2:$A$976,$O79,'2024_2026'!$F$2:$F$976,0),"")</f>
        <v>6.1</v>
      </c>
      <c r="R79" s="324">
        <f>IFERROR(SUMIFS('2024_2026'!$G$2:$G$976,'2024_2026'!$A$2:$A$976,$O79,'2024_2026'!$F$2:$F$976,21),"")</f>
        <v>2.7</v>
      </c>
      <c r="S79" s="325">
        <f t="shared" si="4"/>
        <v>0.82926829268292679</v>
      </c>
      <c r="T79" s="326">
        <f t="shared" si="5"/>
        <v>0.55737704918032782</v>
      </c>
    </row>
    <row r="80" spans="15:20" ht="15" customHeight="1" x14ac:dyDescent="0.25">
      <c r="O80" s="203">
        <v>75</v>
      </c>
      <c r="P80" s="231" t="str">
        <f>IFERROR(INDEX('2024_2026'!$B$2:$B$976,MATCH($O80,'2024_2026'!$A$2:$A$976,0)),"")</f>
        <v>L2</v>
      </c>
      <c r="Q80" s="324">
        <f>IFERROR(SUMIFS('2024_2026'!$G$2:$G$976,'2024_2026'!$A$2:$A$976,$O80,'2024_2026'!$F$2:$F$976,0),"")</f>
        <v>7.1</v>
      </c>
      <c r="R80" s="324">
        <f>IFERROR(SUMIFS('2024_2026'!$G$2:$G$976,'2024_2026'!$A$2:$A$976,$O80,'2024_2026'!$F$2:$F$976,21),"")</f>
        <v>3.4</v>
      </c>
      <c r="S80" s="325">
        <f t="shared" si="4"/>
        <v>0.72549019607843135</v>
      </c>
      <c r="T80" s="326">
        <f t="shared" si="5"/>
        <v>0.52112676056338025</v>
      </c>
    </row>
    <row r="81" spans="15:20" ht="15" customHeight="1" x14ac:dyDescent="0.25">
      <c r="O81" s="203">
        <v>76</v>
      </c>
      <c r="P81" s="231" t="str">
        <f>IFERROR(INDEX('2024_2026'!$B$2:$B$976,MATCH($O81,'2024_2026'!$A$2:$A$976,0)),"")</f>
        <v>L2</v>
      </c>
      <c r="Q81" s="324">
        <f>IFERROR(SUMIFS('2024_2026'!$G$2:$G$976,'2024_2026'!$A$2:$A$976,$O81,'2024_2026'!$F$2:$F$976,0),"")</f>
        <v>5.8</v>
      </c>
      <c r="R81" s="324">
        <f>IFERROR(SUMIFS('2024_2026'!$G$2:$G$976,'2024_2026'!$A$2:$A$976,$O81,'2024_2026'!$F$2:$F$976,21),"")</f>
        <v>2.8</v>
      </c>
      <c r="S81" s="325">
        <f t="shared" si="4"/>
        <v>0.78947368421052633</v>
      </c>
      <c r="T81" s="326">
        <f t="shared" si="5"/>
        <v>0.51724137931034486</v>
      </c>
    </row>
    <row r="82" spans="15:20" ht="15" customHeight="1" x14ac:dyDescent="0.25">
      <c r="O82" s="203">
        <v>77</v>
      </c>
      <c r="P82" s="231" t="str">
        <f>IFERROR(INDEX('2024_2026'!$B$2:$B$976,MATCH($O82,'2024_2026'!$A$2:$A$976,0)),"")</f>
        <v>L2</v>
      </c>
      <c r="Q82" s="324">
        <f>IFERROR(SUMIFS('2024_2026'!$G$2:$G$976,'2024_2026'!$A$2:$A$976,$O82,'2024_2026'!$F$2:$F$976,0),"")</f>
        <v>6.5</v>
      </c>
      <c r="R82" s="324">
        <f>IFERROR(SUMIFS('2024_2026'!$G$2:$G$976,'2024_2026'!$A$2:$A$976,$O82,'2024_2026'!$F$2:$F$976,21),"")</f>
        <v>3</v>
      </c>
      <c r="S82" s="325">
        <f t="shared" si="4"/>
        <v>0.77777777777777779</v>
      </c>
      <c r="T82" s="326">
        <f t="shared" si="5"/>
        <v>0.53846153846153844</v>
      </c>
    </row>
    <row r="83" spans="15:20" ht="15" customHeight="1" x14ac:dyDescent="0.25">
      <c r="O83" s="203">
        <v>78</v>
      </c>
      <c r="P83" s="231" t="str">
        <f>IFERROR(INDEX('2024_2026'!$B$2:$B$976,MATCH($O83,'2024_2026'!$A$2:$A$976,0)),"")</f>
        <v>L2</v>
      </c>
      <c r="Q83" s="324">
        <f>IFERROR(SUMIFS('2024_2026'!$G$2:$G$976,'2024_2026'!$A$2:$A$976,$O83,'2024_2026'!$F$2:$F$976,0),"")</f>
        <v>6.4</v>
      </c>
      <c r="R83" s="324">
        <f>IFERROR(SUMIFS('2024_2026'!$G$2:$G$976,'2024_2026'!$A$2:$A$976,$O83,'2024_2026'!$F$2:$F$976,21),"")</f>
        <v>2.8</v>
      </c>
      <c r="S83" s="325">
        <f t="shared" si="4"/>
        <v>0.81818181818181823</v>
      </c>
      <c r="T83" s="326">
        <f t="shared" si="5"/>
        <v>0.5625</v>
      </c>
    </row>
    <row r="84" spans="15:20" ht="15" customHeight="1" x14ac:dyDescent="0.25">
      <c r="O84" s="203">
        <v>79</v>
      </c>
      <c r="P84" s="231" t="str">
        <f>IFERROR(INDEX('2024_2026'!$B$2:$B$976,MATCH($O84,'2024_2026'!$A$2:$A$976,0)),"")</f>
        <v>L2</v>
      </c>
      <c r="Q84" s="324">
        <f>IFERROR(SUMIFS('2024_2026'!$G$2:$G$976,'2024_2026'!$A$2:$A$976,$O84,'2024_2026'!$F$2:$F$976,0),"")</f>
        <v>7.3</v>
      </c>
      <c r="R84" s="324">
        <f>IFERROR(SUMIFS('2024_2026'!$G$2:$G$976,'2024_2026'!$A$2:$A$976,$O84,'2024_2026'!$F$2:$F$976,21),"")</f>
        <v>3.1</v>
      </c>
      <c r="S84" s="325">
        <f t="shared" si="4"/>
        <v>0.79245283018867918</v>
      </c>
      <c r="T84" s="326">
        <f t="shared" si="5"/>
        <v>0.57534246575342463</v>
      </c>
    </row>
    <row r="85" spans="15:20" ht="15" customHeight="1" x14ac:dyDescent="0.25">
      <c r="O85" s="203">
        <v>80</v>
      </c>
      <c r="P85" s="231" t="str">
        <f>IFERROR(INDEX('2024_2026'!$B$2:$B$976,MATCH($O85,'2024_2026'!$A$2:$A$976,0)),"")</f>
        <v>L2</v>
      </c>
      <c r="Q85" s="324">
        <f>IFERROR(SUMIFS('2024_2026'!$G$2:$G$976,'2024_2026'!$A$2:$A$976,$O85,'2024_2026'!$F$2:$F$976,0),"")</f>
        <v>7.2</v>
      </c>
      <c r="R85" s="324">
        <f>IFERROR(SUMIFS('2024_2026'!$G$2:$G$976,'2024_2026'!$A$2:$A$976,$O85,'2024_2026'!$F$2:$F$976,21),"")</f>
        <v>3.1</v>
      </c>
      <c r="S85" s="325">
        <f t="shared" si="4"/>
        <v>0.78846153846153832</v>
      </c>
      <c r="T85" s="326">
        <f t="shared" si="5"/>
        <v>0.56944444444444442</v>
      </c>
    </row>
    <row r="86" spans="15:20" ht="15" customHeight="1" x14ac:dyDescent="0.25">
      <c r="O86" s="203">
        <v>81</v>
      </c>
      <c r="P86" s="231" t="str">
        <f>IFERROR(INDEX('2024_2026'!$B$2:$B$976,MATCH($O86,'2024_2026'!$A$2:$A$976,0)),"")</f>
        <v>L2</v>
      </c>
      <c r="Q86" s="324">
        <f>IFERROR(SUMIFS('2024_2026'!$G$2:$G$976,'2024_2026'!$A$2:$A$976,$O86,'2024_2026'!$F$2:$F$976,0),"")</f>
        <v>6.8</v>
      </c>
      <c r="R86" s="324">
        <f>IFERROR(SUMIFS('2024_2026'!$G$2:$G$976,'2024_2026'!$A$2:$A$976,$O86,'2024_2026'!$F$2:$F$976,21),"")</f>
        <v>3</v>
      </c>
      <c r="S86" s="325">
        <f t="shared" si="4"/>
        <v>0.79166666666666663</v>
      </c>
      <c r="T86" s="326">
        <f t="shared" si="5"/>
        <v>0.55882352941176472</v>
      </c>
    </row>
    <row r="87" spans="15:20" ht="15" customHeight="1" x14ac:dyDescent="0.25">
      <c r="O87" s="203">
        <v>82</v>
      </c>
      <c r="P87" s="231" t="str">
        <f>IFERROR(INDEX('2024_2026'!$B$2:$B$976,MATCH($O87,'2024_2026'!$A$2:$A$976,0)),"")</f>
        <v>L2</v>
      </c>
      <c r="Q87" s="324">
        <f>IFERROR(SUMIFS('2024_2026'!$G$2:$G$976,'2024_2026'!$A$2:$A$976,$O87,'2024_2026'!$F$2:$F$976,0),"")</f>
        <v>7.4</v>
      </c>
      <c r="R87" s="324">
        <f>IFERROR(SUMIFS('2024_2026'!$G$2:$G$976,'2024_2026'!$A$2:$A$976,$O87,'2024_2026'!$F$2:$F$976,21),"")</f>
        <v>3.4</v>
      </c>
      <c r="S87" s="325">
        <f t="shared" si="4"/>
        <v>0.7407407407407407</v>
      </c>
      <c r="T87" s="326">
        <f t="shared" si="5"/>
        <v>0.54054054054054046</v>
      </c>
    </row>
    <row r="88" spans="15:20" ht="15" customHeight="1" x14ac:dyDescent="0.25">
      <c r="O88" s="203">
        <v>83</v>
      </c>
      <c r="P88" s="231" t="str">
        <f>IFERROR(INDEX('2024_2026'!$B$2:$B$976,MATCH($O88,'2024_2026'!$A$2:$A$976,0)),"")</f>
        <v>L2</v>
      </c>
      <c r="Q88" s="324">
        <f>IFERROR(SUMIFS('2024_2026'!$G$2:$G$976,'2024_2026'!$A$2:$A$976,$O88,'2024_2026'!$F$2:$F$976,0),"")</f>
        <v>6.1</v>
      </c>
      <c r="R88" s="324">
        <f>IFERROR(SUMIFS('2024_2026'!$G$2:$G$976,'2024_2026'!$A$2:$A$976,$O88,'2024_2026'!$F$2:$F$976,21),"")</f>
        <v>2.6</v>
      </c>
      <c r="S88" s="325">
        <f t="shared" si="4"/>
        <v>0.85365853658536583</v>
      </c>
      <c r="T88" s="326">
        <f t="shared" si="5"/>
        <v>0.57377049180327866</v>
      </c>
    </row>
    <row r="89" spans="15:20" ht="15" customHeight="1" x14ac:dyDescent="0.25">
      <c r="O89" s="203">
        <v>84</v>
      </c>
      <c r="P89" s="231" t="str">
        <f>IFERROR(INDEX('2024_2026'!$B$2:$B$976,MATCH($O89,'2024_2026'!$A$2:$A$976,0)),"")</f>
        <v>L2</v>
      </c>
      <c r="Q89" s="324">
        <f>IFERROR(SUMIFS('2024_2026'!$G$2:$G$976,'2024_2026'!$A$2:$A$976,$O89,'2024_2026'!$F$2:$F$976,0),"")</f>
        <v>6.8</v>
      </c>
      <c r="R89" s="324">
        <f>IFERROR(SUMIFS('2024_2026'!$G$2:$G$976,'2024_2026'!$A$2:$A$976,$O89,'2024_2026'!$F$2:$F$976,21),"")</f>
        <v>3</v>
      </c>
      <c r="S89" s="325">
        <f t="shared" si="4"/>
        <v>0.79166666666666663</v>
      </c>
      <c r="T89" s="326">
        <f t="shared" si="5"/>
        <v>0.55882352941176472</v>
      </c>
    </row>
    <row r="90" spans="15:20" ht="15" customHeight="1" x14ac:dyDescent="0.25">
      <c r="O90" s="203">
        <v>85</v>
      </c>
      <c r="P90" s="231" t="str">
        <f>IFERROR(INDEX('2024_2026'!$B$2:$B$976,MATCH($O90,'2024_2026'!$A$2:$A$976,0)),"")</f>
        <v>L2</v>
      </c>
      <c r="Q90" s="324">
        <f>IFERROR(SUMIFS('2024_2026'!$G$2:$G$976,'2024_2026'!$A$2:$A$976,$O90,'2024_2026'!$F$2:$F$976,0),"")</f>
        <v>6.3</v>
      </c>
      <c r="R90" s="324">
        <f>IFERROR(SUMIFS('2024_2026'!$G$2:$G$976,'2024_2026'!$A$2:$A$976,$O90,'2024_2026'!$F$2:$F$976,21),"")</f>
        <v>2.9</v>
      </c>
      <c r="S90" s="325">
        <f t="shared" si="4"/>
        <v>0.79069767441860461</v>
      </c>
      <c r="T90" s="326">
        <f t="shared" si="5"/>
        <v>0.53968253968253965</v>
      </c>
    </row>
    <row r="91" spans="15:20" ht="15" customHeight="1" x14ac:dyDescent="0.25">
      <c r="O91" s="203">
        <v>86</v>
      </c>
      <c r="P91" s="231" t="str">
        <f>IFERROR(INDEX('2024_2026'!$B$2:$B$976,MATCH($O91,'2024_2026'!$A$2:$A$976,0)),"")</f>
        <v>L2</v>
      </c>
      <c r="Q91" s="324">
        <f>IFERROR(SUMIFS('2024_2026'!$G$2:$G$976,'2024_2026'!$A$2:$A$976,$O91,'2024_2026'!$F$2:$F$976,0),"")</f>
        <v>7.1</v>
      </c>
      <c r="R91" s="324">
        <f>IFERROR(SUMIFS('2024_2026'!$G$2:$G$976,'2024_2026'!$A$2:$A$976,$O91,'2024_2026'!$F$2:$F$976,21),"")</f>
        <v>3.3</v>
      </c>
      <c r="S91" s="325">
        <f t="shared" si="4"/>
        <v>0.74509803921568629</v>
      </c>
      <c r="T91" s="326">
        <f t="shared" si="5"/>
        <v>0.53521126760563376</v>
      </c>
    </row>
    <row r="92" spans="15:20" ht="15" customHeight="1" x14ac:dyDescent="0.25">
      <c r="O92" s="203">
        <v>87</v>
      </c>
      <c r="P92" s="231" t="str">
        <f>IFERROR(INDEX('2024_2026'!$B$2:$B$976,MATCH($O92,'2024_2026'!$A$2:$A$976,0)),"")</f>
        <v>L2</v>
      </c>
      <c r="Q92" s="324">
        <f>IFERROR(SUMIFS('2024_2026'!$G$2:$G$976,'2024_2026'!$A$2:$A$976,$O92,'2024_2026'!$F$2:$F$976,0),"")</f>
        <v>6.9</v>
      </c>
      <c r="R92" s="324">
        <f>IFERROR(SUMIFS('2024_2026'!$G$2:$G$976,'2024_2026'!$A$2:$A$976,$O92,'2024_2026'!$F$2:$F$976,21),"")</f>
        <v>3.5</v>
      </c>
      <c r="S92" s="325">
        <f t="shared" si="4"/>
        <v>0.69387755102040816</v>
      </c>
      <c r="T92" s="326">
        <f t="shared" si="5"/>
        <v>0.49275362318840582</v>
      </c>
    </row>
    <row r="93" spans="15:20" ht="15" customHeight="1" x14ac:dyDescent="0.25">
      <c r="O93" s="203">
        <v>88</v>
      </c>
      <c r="P93" s="231" t="str">
        <f>IFERROR(INDEX('2024_2026'!$B$2:$B$976,MATCH($O93,'2024_2026'!$A$2:$A$976,0)),"")</f>
        <v>L2</v>
      </c>
      <c r="Q93" s="324">
        <f>IFERROR(SUMIFS('2024_2026'!$G$2:$G$976,'2024_2026'!$A$2:$A$976,$O93,'2024_2026'!$F$2:$F$976,0),"")</f>
        <v>6.5</v>
      </c>
      <c r="R93" s="324">
        <f>IFERROR(SUMIFS('2024_2026'!$G$2:$G$976,'2024_2026'!$A$2:$A$976,$O93,'2024_2026'!$F$2:$F$976,21),"")</f>
        <v>2.8</v>
      </c>
      <c r="S93" s="325">
        <f t="shared" si="4"/>
        <v>0.8222222222222223</v>
      </c>
      <c r="T93" s="326">
        <f t="shared" si="5"/>
        <v>0.56923076923076921</v>
      </c>
    </row>
    <row r="94" spans="15:20" ht="15" customHeight="1" x14ac:dyDescent="0.25">
      <c r="O94" s="203">
        <v>89</v>
      </c>
      <c r="P94" s="231" t="str">
        <f>IFERROR(INDEX('2024_2026'!$B$2:$B$976,MATCH($O94,'2024_2026'!$A$2:$A$976,0)),"")</f>
        <v>L2</v>
      </c>
      <c r="Q94" s="324">
        <f>IFERROR(SUMIFS('2024_2026'!$G$2:$G$976,'2024_2026'!$A$2:$A$976,$O94,'2024_2026'!$F$2:$F$976,0),"")</f>
        <v>7.4</v>
      </c>
      <c r="R94" s="324">
        <f>IFERROR(SUMIFS('2024_2026'!$G$2:$G$976,'2024_2026'!$A$2:$A$976,$O94,'2024_2026'!$F$2:$F$976,21),"")</f>
        <v>3.3</v>
      </c>
      <c r="S94" s="325">
        <f t="shared" si="4"/>
        <v>0.7592592592592593</v>
      </c>
      <c r="T94" s="326">
        <f t="shared" si="5"/>
        <v>0.55405405405405406</v>
      </c>
    </row>
    <row r="95" spans="15:20" ht="15" customHeight="1" x14ac:dyDescent="0.25">
      <c r="O95" s="203">
        <v>90</v>
      </c>
      <c r="P95" s="231" t="str">
        <f>IFERROR(INDEX('2024_2026'!$B$2:$B$976,MATCH($O95,'2024_2026'!$A$2:$A$976,0)),"")</f>
        <v>L3</v>
      </c>
      <c r="Q95" s="324">
        <f>IFERROR(SUMIFS('2024_2026'!$G$2:$G$976,'2024_2026'!$A$2:$A$976,$O95,'2024_2026'!$F$2:$F$976,0),"")</f>
        <v>7.6</v>
      </c>
      <c r="R95" s="324">
        <f>IFERROR(SUMIFS('2024_2026'!$G$2:$G$976,'2024_2026'!$A$2:$A$976,$O95,'2024_2026'!$F$2:$F$976,21),"")</f>
        <v>3.1</v>
      </c>
      <c r="S95" s="325">
        <f t="shared" si="4"/>
        <v>0.8035714285714286</v>
      </c>
      <c r="T95" s="326">
        <f t="shared" si="5"/>
        <v>0.5921052631578948</v>
      </c>
    </row>
    <row r="96" spans="15:20" ht="15" customHeight="1" x14ac:dyDescent="0.25">
      <c r="O96" s="203">
        <v>91</v>
      </c>
      <c r="P96" s="231" t="str">
        <f>IFERROR(INDEX('2024_2026'!$B$2:$B$976,MATCH($O96,'2024_2026'!$A$2:$A$976,0)),"")</f>
        <v>L3</v>
      </c>
      <c r="Q96" s="324">
        <f>IFERROR(SUMIFS('2024_2026'!$G$2:$G$976,'2024_2026'!$A$2:$A$976,$O96,'2024_2026'!$F$2:$F$976,0),"")</f>
        <v>7.3</v>
      </c>
      <c r="R96" s="324">
        <f>IFERROR(SUMIFS('2024_2026'!$G$2:$G$976,'2024_2026'!$A$2:$A$976,$O96,'2024_2026'!$F$2:$F$976,21),"")</f>
        <v>3</v>
      </c>
      <c r="S96" s="325">
        <f t="shared" si="4"/>
        <v>0.81132075471698117</v>
      </c>
      <c r="T96" s="326">
        <f t="shared" si="5"/>
        <v>0.58904109589041098</v>
      </c>
    </row>
    <row r="97" spans="15:20" ht="15" customHeight="1" x14ac:dyDescent="0.25">
      <c r="O97" s="203">
        <v>92</v>
      </c>
      <c r="P97" s="231" t="str">
        <f>IFERROR(INDEX('2024_2026'!$B$2:$B$976,MATCH($O97,'2024_2026'!$A$2:$A$976,0)),"")</f>
        <v>L3</v>
      </c>
      <c r="Q97" s="324">
        <f>IFERROR(SUMIFS('2024_2026'!$G$2:$G$976,'2024_2026'!$A$2:$A$976,$O97,'2024_2026'!$F$2:$F$976,0),"")</f>
        <v>6.1</v>
      </c>
      <c r="R97" s="324">
        <f>IFERROR(SUMIFS('2024_2026'!$G$2:$G$976,'2024_2026'!$A$2:$A$976,$O97,'2024_2026'!$F$2:$F$976,21),"")</f>
        <v>2.4</v>
      </c>
      <c r="S97" s="325">
        <f t="shared" si="4"/>
        <v>0.90243902439024393</v>
      </c>
      <c r="T97" s="326">
        <f t="shared" si="5"/>
        <v>0.60655737704918034</v>
      </c>
    </row>
    <row r="98" spans="15:20" ht="15" customHeight="1" x14ac:dyDescent="0.25">
      <c r="O98" s="203">
        <v>93</v>
      </c>
      <c r="P98" s="231" t="str">
        <f>IFERROR(INDEX('2024_2026'!$B$2:$B$976,MATCH($O98,'2024_2026'!$A$2:$A$976,0)),"")</f>
        <v>L3</v>
      </c>
      <c r="Q98" s="324">
        <f>IFERROR(SUMIFS('2024_2026'!$G$2:$G$976,'2024_2026'!$A$2:$A$976,$O98,'2024_2026'!$F$2:$F$976,0),"")</f>
        <v>6.9</v>
      </c>
      <c r="R98" s="324">
        <f>IFERROR(SUMIFS('2024_2026'!$G$2:$G$976,'2024_2026'!$A$2:$A$976,$O98,'2024_2026'!$F$2:$F$976,21),"")</f>
        <v>3</v>
      </c>
      <c r="S98" s="325">
        <f t="shared" si="4"/>
        <v>0.79591836734693877</v>
      </c>
      <c r="T98" s="326">
        <f t="shared" si="5"/>
        <v>0.56521739130434789</v>
      </c>
    </row>
    <row r="99" spans="15:20" ht="15" customHeight="1" x14ac:dyDescent="0.25">
      <c r="O99" s="203">
        <v>94</v>
      </c>
      <c r="P99" s="231" t="str">
        <f>IFERROR(INDEX('2024_2026'!$B$2:$B$976,MATCH($O99,'2024_2026'!$A$2:$A$976,0)),"")</f>
        <v>L3</v>
      </c>
      <c r="Q99" s="324">
        <f>IFERROR(SUMIFS('2024_2026'!$G$2:$G$976,'2024_2026'!$A$2:$A$976,$O99,'2024_2026'!$F$2:$F$976,0),"")</f>
        <v>7.4</v>
      </c>
      <c r="R99" s="324">
        <f>IFERROR(SUMIFS('2024_2026'!$G$2:$G$976,'2024_2026'!$A$2:$A$976,$O99,'2024_2026'!$F$2:$F$976,21),"")</f>
        <v>2.7</v>
      </c>
      <c r="S99" s="325">
        <f t="shared" si="4"/>
        <v>0.87037037037037035</v>
      </c>
      <c r="T99" s="326">
        <f t="shared" si="5"/>
        <v>0.63513513513513509</v>
      </c>
    </row>
    <row r="100" spans="15:20" ht="15" customHeight="1" x14ac:dyDescent="0.25">
      <c r="O100" s="203">
        <v>95</v>
      </c>
      <c r="P100" s="231" t="str">
        <f>IFERROR(INDEX('2024_2026'!$B$2:$B$976,MATCH($O100,'2024_2026'!$A$2:$A$976,0)),"")</f>
        <v>L3</v>
      </c>
      <c r="Q100" s="324">
        <f>IFERROR(SUMIFS('2024_2026'!$G$2:$G$976,'2024_2026'!$A$2:$A$976,$O100,'2024_2026'!$F$2:$F$976,0),"")</f>
        <v>7.8</v>
      </c>
      <c r="R100" s="324">
        <f>IFERROR(SUMIFS('2024_2026'!$G$2:$G$976,'2024_2026'!$A$2:$A$976,$O100,'2024_2026'!$F$2:$F$976,21),"")</f>
        <v>3.2</v>
      </c>
      <c r="S100" s="325">
        <f t="shared" si="4"/>
        <v>0.79310344827586199</v>
      </c>
      <c r="T100" s="326">
        <f t="shared" si="5"/>
        <v>0.58974358974358976</v>
      </c>
    </row>
    <row r="101" spans="15:20" ht="15" customHeight="1" x14ac:dyDescent="0.25">
      <c r="O101" s="203">
        <v>96</v>
      </c>
      <c r="P101" s="231" t="str">
        <f>IFERROR(INDEX('2024_2026'!$B$2:$B$976,MATCH($O101,'2024_2026'!$A$2:$A$976,0)),"")</f>
        <v>L3</v>
      </c>
      <c r="Q101" s="324">
        <f>IFERROR(SUMIFS('2024_2026'!$G$2:$G$976,'2024_2026'!$A$2:$A$976,$O101,'2024_2026'!$F$2:$F$976,0),"")</f>
        <v>7.1</v>
      </c>
      <c r="R101" s="324">
        <f>IFERROR(SUMIFS('2024_2026'!$G$2:$G$976,'2024_2026'!$A$2:$A$976,$O101,'2024_2026'!$F$2:$F$976,21),"")</f>
        <v>2.9</v>
      </c>
      <c r="S101" s="325">
        <f t="shared" si="4"/>
        <v>0.82352941176470584</v>
      </c>
      <c r="T101" s="326">
        <f t="shared" si="5"/>
        <v>0.59154929577464777</v>
      </c>
    </row>
    <row r="102" spans="15:20" ht="15" customHeight="1" x14ac:dyDescent="0.25">
      <c r="O102" s="203">
        <v>97</v>
      </c>
      <c r="P102" s="231" t="str">
        <f>IFERROR(INDEX('2024_2026'!$B$2:$B$976,MATCH($O102,'2024_2026'!$A$2:$A$976,0)),"")</f>
        <v>L3</v>
      </c>
      <c r="Q102" s="324">
        <f>IFERROR(SUMIFS('2024_2026'!$G$2:$G$976,'2024_2026'!$A$2:$A$976,$O102,'2024_2026'!$F$2:$F$976,0),"")</f>
        <v>7.6</v>
      </c>
      <c r="R102" s="324">
        <f>IFERROR(SUMIFS('2024_2026'!$G$2:$G$976,'2024_2026'!$A$2:$A$976,$O102,'2024_2026'!$F$2:$F$976,21),"")</f>
        <v>3.2</v>
      </c>
      <c r="S102" s="325">
        <f t="shared" ref="S102:S133" si="6">IFERROR(MAX(0,MIN(1,($Q102-$R102)/($Q102-2))),"")</f>
        <v>0.7857142857142857</v>
      </c>
      <c r="T102" s="326">
        <f t="shared" ref="T102:T133" si="7">IFERROR(($Q102-$R102)/$Q102,"")</f>
        <v>0.57894736842105254</v>
      </c>
    </row>
    <row r="103" spans="15:20" ht="15" customHeight="1" x14ac:dyDescent="0.25">
      <c r="O103" s="203">
        <v>98</v>
      </c>
      <c r="P103" s="231" t="str">
        <f>IFERROR(INDEX('2024_2026'!$B$2:$B$976,MATCH($O103,'2024_2026'!$A$2:$A$976,0)),"")</f>
        <v>L3</v>
      </c>
      <c r="Q103" s="324">
        <f>IFERROR(SUMIFS('2024_2026'!$G$2:$G$976,'2024_2026'!$A$2:$A$976,$O103,'2024_2026'!$F$2:$F$976,0),"")</f>
        <v>7.2</v>
      </c>
      <c r="R103" s="324">
        <f>IFERROR(SUMIFS('2024_2026'!$G$2:$G$976,'2024_2026'!$A$2:$A$976,$O103,'2024_2026'!$F$2:$F$976,21),"")</f>
        <v>2.9</v>
      </c>
      <c r="S103" s="325">
        <f t="shared" si="6"/>
        <v>0.82692307692307698</v>
      </c>
      <c r="T103" s="326">
        <f t="shared" si="7"/>
        <v>0.59722222222222232</v>
      </c>
    </row>
    <row r="104" spans="15:20" ht="15" customHeight="1" x14ac:dyDescent="0.25">
      <c r="O104" s="203">
        <v>99</v>
      </c>
      <c r="P104" s="231" t="str">
        <f>IFERROR(INDEX('2024_2026'!$B$2:$B$976,MATCH($O104,'2024_2026'!$A$2:$A$976,0)),"")</f>
        <v>L3</v>
      </c>
      <c r="Q104" s="324">
        <f>IFERROR(SUMIFS('2024_2026'!$G$2:$G$976,'2024_2026'!$A$2:$A$976,$O104,'2024_2026'!$F$2:$F$976,0),"")</f>
        <v>6.9</v>
      </c>
      <c r="R104" s="324">
        <f>IFERROR(SUMIFS('2024_2026'!$G$2:$G$976,'2024_2026'!$A$2:$A$976,$O104,'2024_2026'!$F$2:$F$976,21),"")</f>
        <v>2.5</v>
      </c>
      <c r="S104" s="325">
        <f t="shared" si="6"/>
        <v>0.89795918367346939</v>
      </c>
      <c r="T104" s="326">
        <f t="shared" si="7"/>
        <v>0.63768115942028991</v>
      </c>
    </row>
    <row r="105" spans="15:20" ht="15" customHeight="1" x14ac:dyDescent="0.25">
      <c r="O105" s="203">
        <v>100</v>
      </c>
      <c r="P105" s="231" t="str">
        <f>IFERROR(INDEX('2024_2026'!$B$2:$B$976,MATCH($O105,'2024_2026'!$A$2:$A$976,0)),"")</f>
        <v>L3</v>
      </c>
      <c r="Q105" s="324">
        <f>IFERROR(SUMIFS('2024_2026'!$G$2:$G$976,'2024_2026'!$A$2:$A$976,$O105,'2024_2026'!$F$2:$F$976,0),"")</f>
        <v>7.5</v>
      </c>
      <c r="R105" s="324">
        <f>IFERROR(SUMIFS('2024_2026'!$G$2:$G$976,'2024_2026'!$A$2:$A$976,$O105,'2024_2026'!$F$2:$F$976,21),"")</f>
        <v>3.2</v>
      </c>
      <c r="S105" s="325">
        <f t="shared" si="6"/>
        <v>0.78181818181818175</v>
      </c>
      <c r="T105" s="326">
        <f t="shared" si="7"/>
        <v>0.57333333333333336</v>
      </c>
    </row>
    <row r="106" spans="15:20" ht="15" customHeight="1" x14ac:dyDescent="0.25">
      <c r="O106" s="203">
        <v>101</v>
      </c>
      <c r="P106" s="231" t="str">
        <f>IFERROR(INDEX('2024_2026'!$B$2:$B$976,MATCH($O106,'2024_2026'!$A$2:$A$976,0)),"")</f>
        <v>L3</v>
      </c>
      <c r="Q106" s="324">
        <f>IFERROR(SUMIFS('2024_2026'!$G$2:$G$976,'2024_2026'!$A$2:$A$976,$O106,'2024_2026'!$F$2:$F$976,0),"")</f>
        <v>7</v>
      </c>
      <c r="R106" s="324">
        <f>IFERROR(SUMIFS('2024_2026'!$G$2:$G$976,'2024_2026'!$A$2:$A$976,$O106,'2024_2026'!$F$2:$F$976,21),"")</f>
        <v>3.2</v>
      </c>
      <c r="S106" s="325">
        <f t="shared" si="6"/>
        <v>0.76</v>
      </c>
      <c r="T106" s="326">
        <f t="shared" si="7"/>
        <v>0.54285714285714282</v>
      </c>
    </row>
    <row r="107" spans="15:20" ht="15" customHeight="1" x14ac:dyDescent="0.25">
      <c r="O107" s="203">
        <v>102</v>
      </c>
      <c r="P107" s="231" t="str">
        <f>IFERROR(INDEX('2024_2026'!$B$2:$B$976,MATCH($O107,'2024_2026'!$A$2:$A$976,0)),"")</f>
        <v>L3</v>
      </c>
      <c r="Q107" s="324">
        <f>IFERROR(SUMIFS('2024_2026'!$G$2:$G$976,'2024_2026'!$A$2:$A$976,$O107,'2024_2026'!$F$2:$F$976,0),"")</f>
        <v>6.4</v>
      </c>
      <c r="R107" s="324">
        <f>IFERROR(SUMIFS('2024_2026'!$G$2:$G$976,'2024_2026'!$A$2:$A$976,$O107,'2024_2026'!$F$2:$F$976,21),"")</f>
        <v>2.8</v>
      </c>
      <c r="S107" s="325">
        <f t="shared" si="6"/>
        <v>0.81818181818181823</v>
      </c>
      <c r="T107" s="326">
        <f t="shared" si="7"/>
        <v>0.5625</v>
      </c>
    </row>
    <row r="108" spans="15:20" ht="15" customHeight="1" x14ac:dyDescent="0.25">
      <c r="O108" s="203">
        <v>103</v>
      </c>
      <c r="P108" s="231" t="str">
        <f>IFERROR(INDEX('2024_2026'!$B$2:$B$976,MATCH($O108,'2024_2026'!$A$2:$A$976,0)),"")</f>
        <v>L3</v>
      </c>
      <c r="Q108" s="324">
        <f>IFERROR(SUMIFS('2024_2026'!$G$2:$G$976,'2024_2026'!$A$2:$A$976,$O108,'2024_2026'!$F$2:$F$976,0),"")</f>
        <v>6.6</v>
      </c>
      <c r="R108" s="324">
        <f>IFERROR(SUMIFS('2024_2026'!$G$2:$G$976,'2024_2026'!$A$2:$A$976,$O108,'2024_2026'!$F$2:$F$976,21),"")</f>
        <v>2.9</v>
      </c>
      <c r="S108" s="325">
        <f t="shared" si="6"/>
        <v>0.80434782608695654</v>
      </c>
      <c r="T108" s="326">
        <f t="shared" si="7"/>
        <v>0.56060606060606055</v>
      </c>
    </row>
    <row r="109" spans="15:20" ht="15" customHeight="1" x14ac:dyDescent="0.25">
      <c r="O109" s="203">
        <v>104</v>
      </c>
      <c r="P109" s="231" t="str">
        <f>IFERROR(INDEX('2024_2026'!$B$2:$B$976,MATCH($O109,'2024_2026'!$A$2:$A$976,0)),"")</f>
        <v>L3</v>
      </c>
      <c r="Q109" s="324">
        <f>IFERROR(SUMIFS('2024_2026'!$G$2:$G$976,'2024_2026'!$A$2:$A$976,$O109,'2024_2026'!$F$2:$F$976,0),"")</f>
        <v>6.5</v>
      </c>
      <c r="R109" s="324">
        <f>IFERROR(SUMIFS('2024_2026'!$G$2:$G$976,'2024_2026'!$A$2:$A$976,$O109,'2024_2026'!$F$2:$F$976,21),"")</f>
        <v>2.6</v>
      </c>
      <c r="S109" s="325">
        <f t="shared" si="6"/>
        <v>0.8666666666666667</v>
      </c>
      <c r="T109" s="326">
        <f t="shared" si="7"/>
        <v>0.6</v>
      </c>
    </row>
    <row r="110" spans="15:20" ht="15" customHeight="1" x14ac:dyDescent="0.25">
      <c r="O110" s="203">
        <v>105</v>
      </c>
      <c r="P110" s="231" t="str">
        <f>IFERROR(INDEX('2024_2026'!$B$2:$B$976,MATCH($O110,'2024_2026'!$A$2:$A$976,0)),"")</f>
        <v>L3</v>
      </c>
      <c r="Q110" s="324">
        <f>IFERROR(SUMIFS('2024_2026'!$G$2:$G$976,'2024_2026'!$A$2:$A$976,$O110,'2024_2026'!$F$2:$F$976,0),"")</f>
        <v>6.8</v>
      </c>
      <c r="R110" s="324">
        <f>IFERROR(SUMIFS('2024_2026'!$G$2:$G$976,'2024_2026'!$A$2:$A$976,$O110,'2024_2026'!$F$2:$F$976,21),"")</f>
        <v>3</v>
      </c>
      <c r="S110" s="325">
        <f t="shared" si="6"/>
        <v>0.79166666666666663</v>
      </c>
      <c r="T110" s="326">
        <f t="shared" si="7"/>
        <v>0.55882352941176472</v>
      </c>
    </row>
    <row r="111" spans="15:20" ht="15" customHeight="1" x14ac:dyDescent="0.25">
      <c r="O111" s="203">
        <v>106</v>
      </c>
      <c r="P111" s="231" t="str">
        <f>IFERROR(INDEX('2024_2026'!$B$2:$B$976,MATCH($O111,'2024_2026'!$A$2:$A$976,0)),"")</f>
        <v>L3</v>
      </c>
      <c r="Q111" s="324">
        <f>IFERROR(SUMIFS('2024_2026'!$G$2:$G$976,'2024_2026'!$A$2:$A$976,$O111,'2024_2026'!$F$2:$F$976,0),"")</f>
        <v>7.1</v>
      </c>
      <c r="R111" s="324">
        <f>IFERROR(SUMIFS('2024_2026'!$G$2:$G$976,'2024_2026'!$A$2:$A$976,$O111,'2024_2026'!$F$2:$F$976,21),"")</f>
        <v>3.1</v>
      </c>
      <c r="S111" s="325">
        <f t="shared" si="6"/>
        <v>0.78431372549019607</v>
      </c>
      <c r="T111" s="326">
        <f t="shared" si="7"/>
        <v>0.56338028169014076</v>
      </c>
    </row>
    <row r="112" spans="15:20" ht="15" customHeight="1" x14ac:dyDescent="0.25">
      <c r="O112" s="203">
        <v>107</v>
      </c>
      <c r="P112" s="231" t="str">
        <f>IFERROR(INDEX('2024_2026'!$B$2:$B$976,MATCH($O112,'2024_2026'!$A$2:$A$976,0)),"")</f>
        <v>L3</v>
      </c>
      <c r="Q112" s="324">
        <f>IFERROR(SUMIFS('2024_2026'!$G$2:$G$976,'2024_2026'!$A$2:$A$976,$O112,'2024_2026'!$F$2:$F$976,0),"")</f>
        <v>6.8</v>
      </c>
      <c r="R112" s="324">
        <f>IFERROR(SUMIFS('2024_2026'!$G$2:$G$976,'2024_2026'!$A$2:$A$976,$O112,'2024_2026'!$F$2:$F$976,21),"")</f>
        <v>2.8</v>
      </c>
      <c r="S112" s="325">
        <f t="shared" si="6"/>
        <v>0.83333333333333337</v>
      </c>
      <c r="T112" s="326">
        <f t="shared" si="7"/>
        <v>0.58823529411764708</v>
      </c>
    </row>
    <row r="113" spans="15:20" ht="15" customHeight="1" x14ac:dyDescent="0.25">
      <c r="O113" s="203">
        <v>108</v>
      </c>
      <c r="P113" s="231" t="str">
        <f>IFERROR(INDEX('2024_2026'!$B$2:$B$976,MATCH($O113,'2024_2026'!$A$2:$A$976,0)),"")</f>
        <v>L3</v>
      </c>
      <c r="Q113" s="324">
        <f>IFERROR(SUMIFS('2024_2026'!$G$2:$G$976,'2024_2026'!$A$2:$A$976,$O113,'2024_2026'!$F$2:$F$976,0),"")</f>
        <v>6.6</v>
      </c>
      <c r="R113" s="324">
        <f>IFERROR(SUMIFS('2024_2026'!$G$2:$G$976,'2024_2026'!$A$2:$A$976,$O113,'2024_2026'!$F$2:$F$976,21),"")</f>
        <v>2.8</v>
      </c>
      <c r="S113" s="325">
        <f t="shared" si="6"/>
        <v>0.82608695652173914</v>
      </c>
      <c r="T113" s="326">
        <f t="shared" si="7"/>
        <v>0.5757575757575758</v>
      </c>
    </row>
    <row r="114" spans="15:20" ht="15" customHeight="1" x14ac:dyDescent="0.25">
      <c r="O114" s="203">
        <v>109</v>
      </c>
      <c r="P114" s="231" t="str">
        <f>IFERROR(INDEX('2024_2026'!$B$2:$B$976,MATCH($O114,'2024_2026'!$A$2:$A$976,0)),"")</f>
        <v>L3</v>
      </c>
      <c r="Q114" s="324">
        <f>IFERROR(SUMIFS('2024_2026'!$G$2:$G$976,'2024_2026'!$A$2:$A$976,$O114,'2024_2026'!$F$2:$F$976,0),"")</f>
        <v>5.5</v>
      </c>
      <c r="R114" s="324">
        <f>IFERROR(SUMIFS('2024_2026'!$G$2:$G$976,'2024_2026'!$A$2:$A$976,$O114,'2024_2026'!$F$2:$F$976,21),"")</f>
        <v>2.4</v>
      </c>
      <c r="S114" s="325">
        <f t="shared" si="6"/>
        <v>0.88571428571428579</v>
      </c>
      <c r="T114" s="326">
        <f t="shared" si="7"/>
        <v>0.5636363636363636</v>
      </c>
    </row>
    <row r="115" spans="15:20" ht="15" customHeight="1" x14ac:dyDescent="0.25">
      <c r="O115" s="203">
        <v>110</v>
      </c>
      <c r="P115" s="231" t="str">
        <f>IFERROR(INDEX('2024_2026'!$B$2:$B$976,MATCH($O115,'2024_2026'!$A$2:$A$976,0)),"")</f>
        <v>L3</v>
      </c>
      <c r="Q115" s="324">
        <f>IFERROR(SUMIFS('2024_2026'!$G$2:$G$976,'2024_2026'!$A$2:$A$976,$O115,'2024_2026'!$F$2:$F$976,0),"")</f>
        <v>6.4</v>
      </c>
      <c r="R115" s="324">
        <f>IFERROR(SUMIFS('2024_2026'!$G$2:$G$976,'2024_2026'!$A$2:$A$976,$O115,'2024_2026'!$F$2:$F$976,21),"")</f>
        <v>2.8</v>
      </c>
      <c r="S115" s="325">
        <f t="shared" si="6"/>
        <v>0.81818181818181823</v>
      </c>
      <c r="T115" s="326">
        <f t="shared" si="7"/>
        <v>0.5625</v>
      </c>
    </row>
    <row r="116" spans="15:20" ht="15" customHeight="1" x14ac:dyDescent="0.25">
      <c r="O116" s="203">
        <v>111</v>
      </c>
      <c r="P116" s="231" t="str">
        <f>IFERROR(INDEX('2024_2026'!$B$2:$B$976,MATCH($O116,'2024_2026'!$A$2:$A$976,0)),"")</f>
        <v>L3</v>
      </c>
      <c r="Q116" s="324">
        <f>IFERROR(SUMIFS('2024_2026'!$G$2:$G$976,'2024_2026'!$A$2:$A$976,$O116,'2024_2026'!$F$2:$F$976,0),"")</f>
        <v>6.4</v>
      </c>
      <c r="R116" s="324">
        <f>IFERROR(SUMIFS('2024_2026'!$G$2:$G$976,'2024_2026'!$A$2:$A$976,$O116,'2024_2026'!$F$2:$F$976,21),"")</f>
        <v>2.8</v>
      </c>
      <c r="S116" s="325">
        <f t="shared" si="6"/>
        <v>0.81818181818181823</v>
      </c>
      <c r="T116" s="326">
        <f t="shared" si="7"/>
        <v>0.5625</v>
      </c>
    </row>
    <row r="117" spans="15:20" ht="15" customHeight="1" x14ac:dyDescent="0.25">
      <c r="O117" s="203">
        <v>112</v>
      </c>
      <c r="P117" s="231" t="str">
        <f>IFERROR(INDEX('2024_2026'!$B$2:$B$976,MATCH($O117,'2024_2026'!$A$2:$A$976,0)),"")</f>
        <v>L3</v>
      </c>
      <c r="Q117" s="324">
        <f>IFERROR(SUMIFS('2024_2026'!$G$2:$G$976,'2024_2026'!$A$2:$A$976,$O117,'2024_2026'!$F$2:$F$976,0),"")</f>
        <v>7.1</v>
      </c>
      <c r="R117" s="324">
        <f>IFERROR(SUMIFS('2024_2026'!$G$2:$G$976,'2024_2026'!$A$2:$A$976,$O117,'2024_2026'!$F$2:$F$976,21),"")</f>
        <v>2.9</v>
      </c>
      <c r="S117" s="325">
        <f t="shared" si="6"/>
        <v>0.82352941176470584</v>
      </c>
      <c r="T117" s="326">
        <f t="shared" si="7"/>
        <v>0.59154929577464777</v>
      </c>
    </row>
    <row r="118" spans="15:20" ht="15" customHeight="1" x14ac:dyDescent="0.25">
      <c r="O118" s="203">
        <v>113</v>
      </c>
      <c r="P118" s="231" t="str">
        <f>IFERROR(INDEX('2024_2026'!$B$2:$B$976,MATCH($O118,'2024_2026'!$A$2:$A$976,0)),"")</f>
        <v>L3</v>
      </c>
      <c r="Q118" s="324">
        <f>IFERROR(SUMIFS('2024_2026'!$G$2:$G$976,'2024_2026'!$A$2:$A$976,$O118,'2024_2026'!$F$2:$F$976,0),"")</f>
        <v>7.2</v>
      </c>
      <c r="R118" s="324">
        <f>IFERROR(SUMIFS('2024_2026'!$G$2:$G$976,'2024_2026'!$A$2:$A$976,$O118,'2024_2026'!$F$2:$F$976,21),"")</f>
        <v>3</v>
      </c>
      <c r="S118" s="325">
        <f t="shared" si="6"/>
        <v>0.80769230769230771</v>
      </c>
      <c r="T118" s="326">
        <f t="shared" si="7"/>
        <v>0.58333333333333337</v>
      </c>
    </row>
    <row r="119" spans="15:20" ht="15" customHeight="1" x14ac:dyDescent="0.25">
      <c r="O119" s="203">
        <v>114</v>
      </c>
      <c r="P119" s="231" t="str">
        <f>IFERROR(INDEX('2024_2026'!$B$2:$B$976,MATCH($O119,'2024_2026'!$A$2:$A$976,0)),"")</f>
        <v>L3</v>
      </c>
      <c r="Q119" s="324">
        <f>IFERROR(SUMIFS('2024_2026'!$G$2:$G$976,'2024_2026'!$A$2:$A$976,$O119,'2024_2026'!$F$2:$F$976,0),"")</f>
        <v>6.3</v>
      </c>
      <c r="R119" s="324">
        <f>IFERROR(SUMIFS('2024_2026'!$G$2:$G$976,'2024_2026'!$A$2:$A$976,$O119,'2024_2026'!$F$2:$F$976,21),"")</f>
        <v>2.8</v>
      </c>
      <c r="S119" s="325">
        <f t="shared" si="6"/>
        <v>0.81395348837209303</v>
      </c>
      <c r="T119" s="326">
        <f t="shared" si="7"/>
        <v>0.55555555555555558</v>
      </c>
    </row>
    <row r="120" spans="15:20" ht="15" customHeight="1" x14ac:dyDescent="0.25">
      <c r="O120" s="203">
        <v>115</v>
      </c>
      <c r="P120" s="231" t="str">
        <f>IFERROR(INDEX('2024_2026'!$B$2:$B$976,MATCH($O120,'2024_2026'!$A$2:$A$976,0)),"")</f>
        <v>L3</v>
      </c>
      <c r="Q120" s="324">
        <f>IFERROR(SUMIFS('2024_2026'!$G$2:$G$976,'2024_2026'!$A$2:$A$976,$O120,'2024_2026'!$F$2:$F$976,0),"")</f>
        <v>6.8</v>
      </c>
      <c r="R120" s="324">
        <f>IFERROR(SUMIFS('2024_2026'!$G$2:$G$976,'2024_2026'!$A$2:$A$976,$O120,'2024_2026'!$F$2:$F$976,21),"")</f>
        <v>2.8</v>
      </c>
      <c r="S120" s="325">
        <f t="shared" si="6"/>
        <v>0.83333333333333337</v>
      </c>
      <c r="T120" s="326">
        <f t="shared" si="7"/>
        <v>0.58823529411764708</v>
      </c>
    </row>
    <row r="121" spans="15:20" ht="15" customHeight="1" x14ac:dyDescent="0.25">
      <c r="O121" s="203">
        <v>116</v>
      </c>
      <c r="P121" s="231" t="str">
        <f>IFERROR(INDEX('2024_2026'!$B$2:$B$976,MATCH($O121,'2024_2026'!$A$2:$A$976,0)),"")</f>
        <v>L3</v>
      </c>
      <c r="Q121" s="324">
        <f>IFERROR(SUMIFS('2024_2026'!$G$2:$G$976,'2024_2026'!$A$2:$A$976,$O121,'2024_2026'!$F$2:$F$976,0),"")</f>
        <v>5.9</v>
      </c>
      <c r="R121" s="324">
        <f>IFERROR(SUMIFS('2024_2026'!$G$2:$G$976,'2024_2026'!$A$2:$A$976,$O121,'2024_2026'!$F$2:$F$976,21),"")</f>
        <v>2.6</v>
      </c>
      <c r="S121" s="325">
        <f t="shared" si="6"/>
        <v>0.84615384615384615</v>
      </c>
      <c r="T121" s="326">
        <f t="shared" si="7"/>
        <v>0.55932203389830515</v>
      </c>
    </row>
    <row r="122" spans="15:20" ht="15" customHeight="1" x14ac:dyDescent="0.25">
      <c r="O122" s="203">
        <v>117</v>
      </c>
      <c r="P122" s="231" t="str">
        <f>IFERROR(INDEX('2024_2026'!$B$2:$B$976,MATCH($O122,'2024_2026'!$A$2:$A$976,0)),"")</f>
        <v>L3</v>
      </c>
      <c r="Q122" s="324">
        <f>IFERROR(SUMIFS('2024_2026'!$G$2:$G$976,'2024_2026'!$A$2:$A$976,$O122,'2024_2026'!$F$2:$F$976,0),"")</f>
        <v>7.1</v>
      </c>
      <c r="R122" s="324">
        <f>IFERROR(SUMIFS('2024_2026'!$G$2:$G$976,'2024_2026'!$A$2:$A$976,$O122,'2024_2026'!$F$2:$F$976,21),"")</f>
        <v>3</v>
      </c>
      <c r="S122" s="325">
        <f t="shared" si="6"/>
        <v>0.80392156862745101</v>
      </c>
      <c r="T122" s="326">
        <f t="shared" si="7"/>
        <v>0.57746478873239437</v>
      </c>
    </row>
    <row r="123" spans="15:20" ht="15" customHeight="1" x14ac:dyDescent="0.25">
      <c r="O123" s="203">
        <v>118</v>
      </c>
      <c r="P123" s="231" t="str">
        <f>IFERROR(INDEX('2024_2026'!$B$2:$B$976,MATCH($O123,'2024_2026'!$A$2:$A$976,0)),"")</f>
        <v>L3</v>
      </c>
      <c r="Q123" s="324">
        <f>IFERROR(SUMIFS('2024_2026'!$G$2:$G$976,'2024_2026'!$A$2:$A$976,$O123,'2024_2026'!$F$2:$F$976,0),"")</f>
        <v>6.8</v>
      </c>
      <c r="R123" s="324">
        <f>IFERROR(SUMIFS('2024_2026'!$G$2:$G$976,'2024_2026'!$A$2:$A$976,$O123,'2024_2026'!$F$2:$F$976,21),"")</f>
        <v>2.8</v>
      </c>
      <c r="S123" s="325">
        <f t="shared" si="6"/>
        <v>0.83333333333333337</v>
      </c>
      <c r="T123" s="326">
        <f t="shared" si="7"/>
        <v>0.58823529411764708</v>
      </c>
    </row>
    <row r="124" spans="15:20" ht="15" customHeight="1" x14ac:dyDescent="0.25">
      <c r="O124" s="203">
        <v>119</v>
      </c>
      <c r="P124" s="231" t="str">
        <f>IFERROR(INDEX('2024_2026'!$B$2:$B$976,MATCH($O124,'2024_2026'!$A$2:$A$976,0)),"")</f>
        <v>L3</v>
      </c>
      <c r="Q124" s="324">
        <f>IFERROR(SUMIFS('2024_2026'!$G$2:$G$976,'2024_2026'!$A$2:$A$976,$O124,'2024_2026'!$F$2:$F$976,0),"")</f>
        <v>6.5</v>
      </c>
      <c r="R124" s="324">
        <f>IFERROR(SUMIFS('2024_2026'!$G$2:$G$976,'2024_2026'!$A$2:$A$976,$O124,'2024_2026'!$F$2:$F$976,21),"")</f>
        <v>2.7</v>
      </c>
      <c r="S124" s="325">
        <f t="shared" si="6"/>
        <v>0.84444444444444444</v>
      </c>
      <c r="T124" s="326">
        <f t="shared" si="7"/>
        <v>0.58461538461538454</v>
      </c>
    </row>
    <row r="125" spans="15:20" ht="15" customHeight="1" x14ac:dyDescent="0.25">
      <c r="O125" s="203">
        <v>120</v>
      </c>
      <c r="P125" s="231" t="str">
        <f>IFERROR(INDEX('2024_2026'!$B$2:$B$976,MATCH($O125,'2024_2026'!$A$2:$A$976,0)),"")</f>
        <v>L3</v>
      </c>
      <c r="Q125" s="324">
        <f>IFERROR(SUMIFS('2024_2026'!$G$2:$G$976,'2024_2026'!$A$2:$A$976,$O125,'2024_2026'!$F$2:$F$976,0),"")</f>
        <v>5.9</v>
      </c>
      <c r="R125" s="324">
        <f>IFERROR(SUMIFS('2024_2026'!$G$2:$G$976,'2024_2026'!$A$2:$A$976,$O125,'2024_2026'!$F$2:$F$976,21),"")</f>
        <v>2.2999999999999998</v>
      </c>
      <c r="S125" s="325">
        <f t="shared" si="6"/>
        <v>0.92307692307692313</v>
      </c>
      <c r="T125" s="326">
        <f t="shared" si="7"/>
        <v>0.61016949152542377</v>
      </c>
    </row>
    <row r="126" spans="15:20" ht="15" customHeight="1" x14ac:dyDescent="0.25">
      <c r="O126" s="203">
        <v>121</v>
      </c>
      <c r="P126" s="231" t="str">
        <f>IFERROR(INDEX('2024_2026'!$B$2:$B$976,MATCH($O126,'2024_2026'!$A$2:$A$976,0)),"")</f>
        <v>L3</v>
      </c>
      <c r="Q126" s="324">
        <f>IFERROR(SUMIFS('2024_2026'!$G$2:$G$976,'2024_2026'!$A$2:$A$976,$O126,'2024_2026'!$F$2:$F$976,0),"")</f>
        <v>6.7</v>
      </c>
      <c r="R126" s="324">
        <f>IFERROR(SUMIFS('2024_2026'!$G$2:$G$976,'2024_2026'!$A$2:$A$976,$O126,'2024_2026'!$F$2:$F$976,21),"")</f>
        <v>2.7</v>
      </c>
      <c r="S126" s="325">
        <f t="shared" si="6"/>
        <v>0.85106382978723405</v>
      </c>
      <c r="T126" s="326">
        <f t="shared" si="7"/>
        <v>0.59701492537313428</v>
      </c>
    </row>
    <row r="127" spans="15:20" ht="15" customHeight="1" x14ac:dyDescent="0.25">
      <c r="O127" s="203">
        <v>122</v>
      </c>
      <c r="P127" s="231" t="str">
        <f>IFERROR(INDEX('2024_2026'!$B$2:$B$976,MATCH($O127,'2024_2026'!$A$2:$A$976,0)),"")</f>
        <v>L3</v>
      </c>
      <c r="Q127" s="324">
        <f>IFERROR(SUMIFS('2024_2026'!$G$2:$G$976,'2024_2026'!$A$2:$A$976,$O127,'2024_2026'!$F$2:$F$976,0),"")</f>
        <v>7.6</v>
      </c>
      <c r="R127" s="324">
        <f>IFERROR(SUMIFS('2024_2026'!$G$2:$G$976,'2024_2026'!$A$2:$A$976,$O127,'2024_2026'!$F$2:$F$976,21),"")</f>
        <v>3.1</v>
      </c>
      <c r="S127" s="325">
        <f t="shared" si="6"/>
        <v>0.8035714285714286</v>
      </c>
      <c r="T127" s="326">
        <f t="shared" si="7"/>
        <v>0.5921052631578948</v>
      </c>
    </row>
    <row r="128" spans="15:20" ht="15" customHeight="1" x14ac:dyDescent="0.25">
      <c r="O128" s="203">
        <v>123</v>
      </c>
      <c r="P128" s="231" t="str">
        <f>IFERROR(INDEX('2024_2026'!$B$2:$B$976,MATCH($O128,'2024_2026'!$A$2:$A$976,0)),"")</f>
        <v>L3</v>
      </c>
      <c r="Q128" s="324">
        <f>IFERROR(SUMIFS('2024_2026'!$G$2:$G$976,'2024_2026'!$A$2:$A$976,$O128,'2024_2026'!$F$2:$F$976,0),"")</f>
        <v>7.1</v>
      </c>
      <c r="R128" s="324">
        <f>IFERROR(SUMIFS('2024_2026'!$G$2:$G$976,'2024_2026'!$A$2:$A$976,$O128,'2024_2026'!$F$2:$F$976,21),"")</f>
        <v>2.9</v>
      </c>
      <c r="S128" s="325">
        <f t="shared" si="6"/>
        <v>0.82352941176470584</v>
      </c>
      <c r="T128" s="326">
        <f t="shared" si="7"/>
        <v>0.59154929577464777</v>
      </c>
    </row>
    <row r="129" spans="15:20" ht="15" customHeight="1" x14ac:dyDescent="0.25">
      <c r="O129" s="203">
        <v>124</v>
      </c>
      <c r="P129" s="231" t="str">
        <f>IFERROR(INDEX('2024_2026'!$B$2:$B$976,MATCH($O129,'2024_2026'!$A$2:$A$976,0)),"")</f>
        <v>L3</v>
      </c>
      <c r="Q129" s="324">
        <f>IFERROR(SUMIFS('2024_2026'!$G$2:$G$976,'2024_2026'!$A$2:$A$976,$O129,'2024_2026'!$F$2:$F$976,0),"")</f>
        <v>8.1</v>
      </c>
      <c r="R129" s="324">
        <f>IFERROR(SUMIFS('2024_2026'!$G$2:$G$976,'2024_2026'!$A$2:$A$976,$O129,'2024_2026'!$F$2:$F$976,21),"")</f>
        <v>3.6</v>
      </c>
      <c r="S129" s="325">
        <f t="shared" si="6"/>
        <v>0.73770491803278693</v>
      </c>
      <c r="T129" s="326">
        <f t="shared" si="7"/>
        <v>0.55555555555555558</v>
      </c>
    </row>
    <row r="130" spans="15:20" ht="15" customHeight="1" x14ac:dyDescent="0.25">
      <c r="O130" s="203">
        <v>125</v>
      </c>
      <c r="P130" s="231" t="str">
        <f>IFERROR(INDEX('2024_2026'!$B$2:$B$976,MATCH($O130,'2024_2026'!$A$2:$A$976,0)),"")</f>
        <v>L3</v>
      </c>
      <c r="Q130" s="324">
        <f>IFERROR(SUMIFS('2024_2026'!$G$2:$G$976,'2024_2026'!$A$2:$A$976,$O130,'2024_2026'!$F$2:$F$976,0),"")</f>
        <v>6.3</v>
      </c>
      <c r="R130" s="324">
        <f>IFERROR(SUMIFS('2024_2026'!$G$2:$G$976,'2024_2026'!$A$2:$A$976,$O130,'2024_2026'!$F$2:$F$976,21),"")</f>
        <v>2.7</v>
      </c>
      <c r="S130" s="325">
        <f t="shared" si="6"/>
        <v>0.83720930232558133</v>
      </c>
      <c r="T130" s="326">
        <f t="shared" si="7"/>
        <v>0.5714285714285714</v>
      </c>
    </row>
    <row r="131" spans="15:20" ht="15" customHeight="1" x14ac:dyDescent="0.25">
      <c r="O131" s="203">
        <v>126</v>
      </c>
      <c r="P131" s="231" t="str">
        <f>IFERROR(INDEX('2024_2026'!$B$2:$B$976,MATCH($O131,'2024_2026'!$A$2:$A$976,0)),"")</f>
        <v>L3</v>
      </c>
      <c r="Q131" s="324">
        <f>IFERROR(SUMIFS('2024_2026'!$G$2:$G$976,'2024_2026'!$A$2:$A$976,$O131,'2024_2026'!$F$2:$F$976,0),"")</f>
        <v>7.7</v>
      </c>
      <c r="R131" s="324">
        <f>IFERROR(SUMIFS('2024_2026'!$G$2:$G$976,'2024_2026'!$A$2:$A$976,$O131,'2024_2026'!$F$2:$F$976,21),"")</f>
        <v>3.3</v>
      </c>
      <c r="S131" s="325">
        <f t="shared" si="6"/>
        <v>0.77192982456140358</v>
      </c>
      <c r="T131" s="326">
        <f t="shared" si="7"/>
        <v>0.57142857142857151</v>
      </c>
    </row>
    <row r="132" spans="15:20" ht="15" customHeight="1" x14ac:dyDescent="0.25">
      <c r="O132" s="203">
        <v>127</v>
      </c>
      <c r="P132" s="231" t="str">
        <f>IFERROR(INDEX('2024_2026'!$B$2:$B$976,MATCH($O132,'2024_2026'!$A$2:$A$976,0)),"")</f>
        <v>L3</v>
      </c>
      <c r="Q132" s="324">
        <f>IFERROR(SUMIFS('2024_2026'!$G$2:$G$976,'2024_2026'!$A$2:$A$976,$O132,'2024_2026'!$F$2:$F$976,0),"")</f>
        <v>7.6</v>
      </c>
      <c r="R132" s="324">
        <f>IFERROR(SUMIFS('2024_2026'!$G$2:$G$976,'2024_2026'!$A$2:$A$976,$O132,'2024_2026'!$F$2:$F$976,21),"")</f>
        <v>3.1</v>
      </c>
      <c r="S132" s="325">
        <f t="shared" si="6"/>
        <v>0.8035714285714286</v>
      </c>
      <c r="T132" s="326">
        <f t="shared" si="7"/>
        <v>0.5921052631578948</v>
      </c>
    </row>
    <row r="133" spans="15:20" ht="15" customHeight="1" x14ac:dyDescent="0.25">
      <c r="O133" s="203">
        <v>128</v>
      </c>
      <c r="P133" s="231" t="str">
        <f>IFERROR(INDEX('2024_2026'!$B$2:$B$976,MATCH($O133,'2024_2026'!$A$2:$A$976,0)),"")</f>
        <v>L3</v>
      </c>
      <c r="Q133" s="324">
        <f>IFERROR(SUMIFS('2024_2026'!$G$2:$G$976,'2024_2026'!$A$2:$A$976,$O133,'2024_2026'!$F$2:$F$976,0),"")</f>
        <v>6.3</v>
      </c>
      <c r="R133" s="324">
        <f>IFERROR(SUMIFS('2024_2026'!$G$2:$G$976,'2024_2026'!$A$2:$A$976,$O133,'2024_2026'!$F$2:$F$976,21),"")</f>
        <v>2.8</v>
      </c>
      <c r="S133" s="325">
        <f t="shared" si="6"/>
        <v>0.81395348837209303</v>
      </c>
      <c r="T133" s="326">
        <f t="shared" si="7"/>
        <v>0.55555555555555558</v>
      </c>
    </row>
    <row r="134" spans="15:20" ht="15" customHeight="1" x14ac:dyDescent="0.25">
      <c r="O134" s="203">
        <v>129</v>
      </c>
      <c r="P134" s="231" t="str">
        <f>IFERROR(INDEX('2024_2026'!$B$2:$B$976,MATCH($O134,'2024_2026'!$A$2:$A$976,0)),"")</f>
        <v>S</v>
      </c>
      <c r="Q134" s="324">
        <f>IFERROR(SUMIFS('2024_2026'!$G$2:$G$976,'2024_2026'!$A$2:$A$976,$O134,'2024_2026'!$F$2:$F$976,0),"")</f>
        <v>6.1</v>
      </c>
      <c r="R134" s="324">
        <f>IFERROR(SUMIFS('2024_2026'!$G$2:$G$976,'2024_2026'!$A$2:$A$976,$O134,'2024_2026'!$F$2:$F$976,21),"")</f>
        <v>4.7</v>
      </c>
      <c r="S134" s="325">
        <f t="shared" ref="S134:S165" si="8">IFERROR(MAX(0,MIN(1,($Q134-$R134)/($Q134-2))),"")</f>
        <v>0.34146341463414626</v>
      </c>
      <c r="T134" s="326">
        <f t="shared" ref="T134:T165" si="9">IFERROR(($Q134-$R134)/$Q134,"")</f>
        <v>0.2295081967213114</v>
      </c>
    </row>
    <row r="135" spans="15:20" ht="15" customHeight="1" x14ac:dyDescent="0.25">
      <c r="O135" s="203">
        <v>130</v>
      </c>
      <c r="P135" s="231" t="str">
        <f>IFERROR(INDEX('2024_2026'!$B$2:$B$976,MATCH($O135,'2024_2026'!$A$2:$A$976,0)),"")</f>
        <v>S</v>
      </c>
      <c r="Q135" s="324">
        <f>IFERROR(SUMIFS('2024_2026'!$G$2:$G$976,'2024_2026'!$A$2:$A$976,$O135,'2024_2026'!$F$2:$F$976,0),"")</f>
        <v>6.7</v>
      </c>
      <c r="R135" s="324">
        <f>IFERROR(SUMIFS('2024_2026'!$G$2:$G$976,'2024_2026'!$A$2:$A$976,$O135,'2024_2026'!$F$2:$F$976,21),"")</f>
        <v>4.8</v>
      </c>
      <c r="S135" s="325">
        <f t="shared" si="8"/>
        <v>0.40425531914893625</v>
      </c>
      <c r="T135" s="326">
        <f t="shared" si="9"/>
        <v>0.28358208955223885</v>
      </c>
    </row>
    <row r="136" spans="15:20" ht="15" customHeight="1" x14ac:dyDescent="0.25">
      <c r="O136" s="203">
        <v>131</v>
      </c>
      <c r="P136" s="231" t="str">
        <f>IFERROR(INDEX('2024_2026'!$B$2:$B$976,MATCH($O136,'2024_2026'!$A$2:$A$976,0)),"")</f>
        <v>S</v>
      </c>
      <c r="Q136" s="324">
        <f>IFERROR(SUMIFS('2024_2026'!$G$2:$G$976,'2024_2026'!$A$2:$A$976,$O136,'2024_2026'!$F$2:$F$976,0),"")</f>
        <v>6.4</v>
      </c>
      <c r="R136" s="324">
        <f>IFERROR(SUMIFS('2024_2026'!$G$2:$G$976,'2024_2026'!$A$2:$A$976,$O136,'2024_2026'!$F$2:$F$976,21),"")</f>
        <v>4.7</v>
      </c>
      <c r="S136" s="325">
        <f t="shared" si="8"/>
        <v>0.38636363636363635</v>
      </c>
      <c r="T136" s="326">
        <f t="shared" si="9"/>
        <v>0.265625</v>
      </c>
    </row>
    <row r="137" spans="15:20" ht="15" customHeight="1" x14ac:dyDescent="0.25">
      <c r="O137" s="203">
        <v>132</v>
      </c>
      <c r="P137" s="231" t="str">
        <f>IFERROR(INDEX('2024_2026'!$B$2:$B$976,MATCH($O137,'2024_2026'!$A$2:$A$976,0)),"")</f>
        <v>S</v>
      </c>
      <c r="Q137" s="324">
        <f>IFERROR(SUMIFS('2024_2026'!$G$2:$G$976,'2024_2026'!$A$2:$A$976,$O137,'2024_2026'!$F$2:$F$976,0),"")</f>
        <v>7.1</v>
      </c>
      <c r="R137" s="324">
        <f>IFERROR(SUMIFS('2024_2026'!$G$2:$G$976,'2024_2026'!$A$2:$A$976,$O137,'2024_2026'!$F$2:$F$976,21),"")</f>
        <v>5</v>
      </c>
      <c r="S137" s="325">
        <f t="shared" si="8"/>
        <v>0.41176470588235292</v>
      </c>
      <c r="T137" s="326">
        <f t="shared" si="9"/>
        <v>0.29577464788732388</v>
      </c>
    </row>
    <row r="138" spans="15:20" ht="15" customHeight="1" x14ac:dyDescent="0.25">
      <c r="O138" s="203">
        <v>133</v>
      </c>
      <c r="P138" s="231" t="str">
        <f>IFERROR(INDEX('2024_2026'!$B$2:$B$976,MATCH($O138,'2024_2026'!$A$2:$A$976,0)),"")</f>
        <v>S</v>
      </c>
      <c r="Q138" s="324">
        <f>IFERROR(SUMIFS('2024_2026'!$G$2:$G$976,'2024_2026'!$A$2:$A$976,$O138,'2024_2026'!$F$2:$F$976,0),"")</f>
        <v>7.2</v>
      </c>
      <c r="R138" s="324">
        <f>IFERROR(SUMIFS('2024_2026'!$G$2:$G$976,'2024_2026'!$A$2:$A$976,$O138,'2024_2026'!$F$2:$F$976,21),"")</f>
        <v>5.4</v>
      </c>
      <c r="S138" s="325">
        <f t="shared" si="8"/>
        <v>0.34615384615384609</v>
      </c>
      <c r="T138" s="326">
        <f t="shared" si="9"/>
        <v>0.24999999999999997</v>
      </c>
    </row>
    <row r="139" spans="15:20" ht="15" customHeight="1" x14ac:dyDescent="0.25">
      <c r="O139" s="203">
        <v>134</v>
      </c>
      <c r="P139" s="231" t="str">
        <f>IFERROR(INDEX('2024_2026'!$B$2:$B$976,MATCH($O139,'2024_2026'!$A$2:$A$976,0)),"")</f>
        <v>S</v>
      </c>
      <c r="Q139" s="324">
        <f>IFERROR(SUMIFS('2024_2026'!$G$2:$G$976,'2024_2026'!$A$2:$A$976,$O139,'2024_2026'!$F$2:$F$976,0),"")</f>
        <v>7.1</v>
      </c>
      <c r="R139" s="324">
        <f>IFERROR(SUMIFS('2024_2026'!$G$2:$G$976,'2024_2026'!$A$2:$A$976,$O139,'2024_2026'!$F$2:$F$976,21),"")</f>
        <v>5.2</v>
      </c>
      <c r="S139" s="325">
        <f t="shared" si="8"/>
        <v>0.37254901960784303</v>
      </c>
      <c r="T139" s="326">
        <f t="shared" si="9"/>
        <v>0.26760563380281682</v>
      </c>
    </row>
    <row r="140" spans="15:20" ht="15" customHeight="1" x14ac:dyDescent="0.25">
      <c r="O140" s="203">
        <v>135</v>
      </c>
      <c r="P140" s="231" t="str">
        <f>IFERROR(INDEX('2024_2026'!$B$2:$B$976,MATCH($O140,'2024_2026'!$A$2:$A$976,0)),"")</f>
        <v>S</v>
      </c>
      <c r="Q140" s="324">
        <f>IFERROR(SUMIFS('2024_2026'!$G$2:$G$976,'2024_2026'!$A$2:$A$976,$O140,'2024_2026'!$F$2:$F$976,0),"")</f>
        <v>6.5</v>
      </c>
      <c r="R140" s="324">
        <f>IFERROR(SUMIFS('2024_2026'!$G$2:$G$976,'2024_2026'!$A$2:$A$976,$O140,'2024_2026'!$F$2:$F$976,21),"")</f>
        <v>4.9000000000000004</v>
      </c>
      <c r="S140" s="325">
        <f t="shared" si="8"/>
        <v>0.35555555555555546</v>
      </c>
      <c r="T140" s="326">
        <f t="shared" si="9"/>
        <v>0.24615384615384611</v>
      </c>
    </row>
    <row r="141" spans="15:20" ht="15" customHeight="1" x14ac:dyDescent="0.25">
      <c r="O141" s="203">
        <v>136</v>
      </c>
      <c r="P141" s="231" t="str">
        <f>IFERROR(INDEX('2024_2026'!$B$2:$B$976,MATCH($O141,'2024_2026'!$A$2:$A$976,0)),"")</f>
        <v>S</v>
      </c>
      <c r="Q141" s="324">
        <f>IFERROR(SUMIFS('2024_2026'!$G$2:$G$976,'2024_2026'!$A$2:$A$976,$O141,'2024_2026'!$F$2:$F$976,0),"")</f>
        <v>6.4</v>
      </c>
      <c r="R141" s="324">
        <f>IFERROR(SUMIFS('2024_2026'!$G$2:$G$976,'2024_2026'!$A$2:$A$976,$O141,'2024_2026'!$F$2:$F$976,21),"")</f>
        <v>4.9000000000000004</v>
      </c>
      <c r="S141" s="325">
        <f t="shared" si="8"/>
        <v>0.34090909090909088</v>
      </c>
      <c r="T141" s="326">
        <f t="shared" si="9"/>
        <v>0.234375</v>
      </c>
    </row>
    <row r="142" spans="15:20" ht="15" customHeight="1" x14ac:dyDescent="0.25">
      <c r="O142" s="203">
        <v>137</v>
      </c>
      <c r="P142" s="231" t="str">
        <f>IFERROR(INDEX('2024_2026'!$B$2:$B$976,MATCH($O142,'2024_2026'!$A$2:$A$976,0)),"")</f>
        <v>S</v>
      </c>
      <c r="Q142" s="324">
        <f>IFERROR(SUMIFS('2024_2026'!$G$2:$G$976,'2024_2026'!$A$2:$A$976,$O142,'2024_2026'!$F$2:$F$976,0),"")</f>
        <v>8</v>
      </c>
      <c r="R142" s="324">
        <f>IFERROR(SUMIFS('2024_2026'!$G$2:$G$976,'2024_2026'!$A$2:$A$976,$O142,'2024_2026'!$F$2:$F$976,21),"")</f>
        <v>6.1</v>
      </c>
      <c r="S142" s="325">
        <f t="shared" si="8"/>
        <v>0.31666666666666671</v>
      </c>
      <c r="T142" s="326">
        <f t="shared" si="9"/>
        <v>0.23750000000000004</v>
      </c>
    </row>
    <row r="143" spans="15:20" ht="15" customHeight="1" x14ac:dyDescent="0.25">
      <c r="O143" s="203">
        <v>138</v>
      </c>
      <c r="P143" s="231" t="str">
        <f>IFERROR(INDEX('2024_2026'!$B$2:$B$976,MATCH($O143,'2024_2026'!$A$2:$A$976,0)),"")</f>
        <v>S</v>
      </c>
      <c r="Q143" s="324">
        <f>IFERROR(SUMIFS('2024_2026'!$G$2:$G$976,'2024_2026'!$A$2:$A$976,$O143,'2024_2026'!$F$2:$F$976,0),"")</f>
        <v>7.6</v>
      </c>
      <c r="R143" s="324">
        <f>IFERROR(SUMIFS('2024_2026'!$G$2:$G$976,'2024_2026'!$A$2:$A$976,$O143,'2024_2026'!$F$2:$F$976,21),"")</f>
        <v>5.7</v>
      </c>
      <c r="S143" s="325">
        <f t="shared" si="8"/>
        <v>0.33928571428571419</v>
      </c>
      <c r="T143" s="326">
        <f t="shared" si="9"/>
        <v>0.24999999999999994</v>
      </c>
    </row>
    <row r="144" spans="15:20" ht="15" customHeight="1" x14ac:dyDescent="0.25">
      <c r="O144" s="203">
        <v>139</v>
      </c>
      <c r="P144" s="231" t="str">
        <f>IFERROR(INDEX('2024_2026'!$B$2:$B$976,MATCH($O144,'2024_2026'!$A$2:$A$976,0)),"")</f>
        <v>S</v>
      </c>
      <c r="Q144" s="324">
        <f>IFERROR(SUMIFS('2024_2026'!$G$2:$G$976,'2024_2026'!$A$2:$A$976,$O144,'2024_2026'!$F$2:$F$976,0),"")</f>
        <v>7.2</v>
      </c>
      <c r="R144" s="324">
        <f>IFERROR(SUMIFS('2024_2026'!$G$2:$G$976,'2024_2026'!$A$2:$A$976,$O144,'2024_2026'!$F$2:$F$976,21),"")</f>
        <v>5.3</v>
      </c>
      <c r="S144" s="325">
        <f t="shared" si="8"/>
        <v>0.36538461538461542</v>
      </c>
      <c r="T144" s="326">
        <f t="shared" si="9"/>
        <v>0.26388888888888895</v>
      </c>
    </row>
    <row r="145" spans="15:20" ht="15" customHeight="1" x14ac:dyDescent="0.25">
      <c r="O145" s="203">
        <v>140</v>
      </c>
      <c r="P145" s="231" t="str">
        <f>IFERROR(INDEX('2024_2026'!$B$2:$B$976,MATCH($O145,'2024_2026'!$A$2:$A$976,0)),"")</f>
        <v>S</v>
      </c>
      <c r="Q145" s="324">
        <f>IFERROR(SUMIFS('2024_2026'!$G$2:$G$976,'2024_2026'!$A$2:$A$976,$O145,'2024_2026'!$F$2:$F$976,0),"")</f>
        <v>6.7</v>
      </c>
      <c r="R145" s="324">
        <f>IFERROR(SUMIFS('2024_2026'!$G$2:$G$976,'2024_2026'!$A$2:$A$976,$O145,'2024_2026'!$F$2:$F$976,21),"")</f>
        <v>5.0999999999999996</v>
      </c>
      <c r="S145" s="325">
        <f t="shared" si="8"/>
        <v>0.34042553191489372</v>
      </c>
      <c r="T145" s="326">
        <f t="shared" si="9"/>
        <v>0.23880597014925381</v>
      </c>
    </row>
    <row r="146" spans="15:20" ht="15" customHeight="1" x14ac:dyDescent="0.25">
      <c r="O146" s="203">
        <v>141</v>
      </c>
      <c r="P146" s="231" t="str">
        <f>IFERROR(INDEX('2024_2026'!$B$2:$B$976,MATCH($O146,'2024_2026'!$A$2:$A$976,0)),"")</f>
        <v>S</v>
      </c>
      <c r="Q146" s="324">
        <f>IFERROR(SUMIFS('2024_2026'!$G$2:$G$976,'2024_2026'!$A$2:$A$976,$O146,'2024_2026'!$F$2:$F$976,0),"")</f>
        <v>6.9</v>
      </c>
      <c r="R146" s="324">
        <f>IFERROR(SUMIFS('2024_2026'!$G$2:$G$976,'2024_2026'!$A$2:$A$976,$O146,'2024_2026'!$F$2:$F$976,21),"")</f>
        <v>5.3</v>
      </c>
      <c r="S146" s="325">
        <f t="shared" si="8"/>
        <v>0.32653061224489804</v>
      </c>
      <c r="T146" s="326">
        <f t="shared" si="9"/>
        <v>0.23188405797101455</v>
      </c>
    </row>
    <row r="147" spans="15:20" ht="15" customHeight="1" x14ac:dyDescent="0.25">
      <c r="O147" s="203">
        <v>142</v>
      </c>
      <c r="P147" s="231" t="str">
        <f>IFERROR(INDEX('2024_2026'!$B$2:$B$976,MATCH($O147,'2024_2026'!$A$2:$A$976,0)),"")</f>
        <v>S</v>
      </c>
      <c r="Q147" s="324">
        <f>IFERROR(SUMIFS('2024_2026'!$G$2:$G$976,'2024_2026'!$A$2:$A$976,$O147,'2024_2026'!$F$2:$F$976,0),"")</f>
        <v>7.2</v>
      </c>
      <c r="R147" s="324">
        <f>IFERROR(SUMIFS('2024_2026'!$G$2:$G$976,'2024_2026'!$A$2:$A$976,$O147,'2024_2026'!$F$2:$F$976,21),"")</f>
        <v>5.3</v>
      </c>
      <c r="S147" s="325">
        <f t="shared" si="8"/>
        <v>0.36538461538461542</v>
      </c>
      <c r="T147" s="326">
        <f t="shared" si="9"/>
        <v>0.26388888888888895</v>
      </c>
    </row>
    <row r="148" spans="15:20" ht="15" customHeight="1" x14ac:dyDescent="0.25">
      <c r="O148" s="203">
        <v>143</v>
      </c>
      <c r="P148" s="231" t="str">
        <f>IFERROR(INDEX('2024_2026'!$B$2:$B$976,MATCH($O148,'2024_2026'!$A$2:$A$976,0)),"")</f>
        <v>S</v>
      </c>
      <c r="Q148" s="324">
        <f>IFERROR(SUMIFS('2024_2026'!$G$2:$G$976,'2024_2026'!$A$2:$A$976,$O148,'2024_2026'!$F$2:$F$976,0),"")</f>
        <v>5.7</v>
      </c>
      <c r="R148" s="324">
        <f>IFERROR(SUMIFS('2024_2026'!$G$2:$G$976,'2024_2026'!$A$2:$A$976,$O148,'2024_2026'!$F$2:$F$976,21),"")</f>
        <v>4.2</v>
      </c>
      <c r="S148" s="325">
        <f t="shared" si="8"/>
        <v>0.40540540540540537</v>
      </c>
      <c r="T148" s="326">
        <f t="shared" si="9"/>
        <v>0.26315789473684209</v>
      </c>
    </row>
    <row r="149" spans="15:20" ht="15" customHeight="1" x14ac:dyDescent="0.25">
      <c r="O149" s="203">
        <v>144</v>
      </c>
      <c r="P149" s="231" t="str">
        <f>IFERROR(INDEX('2024_2026'!$B$2:$B$976,MATCH($O149,'2024_2026'!$A$2:$A$976,0)),"")</f>
        <v>S</v>
      </c>
      <c r="Q149" s="324">
        <f>IFERROR(SUMIFS('2024_2026'!$G$2:$G$976,'2024_2026'!$A$2:$A$976,$O149,'2024_2026'!$F$2:$F$976,0),"")</f>
        <v>6.4</v>
      </c>
      <c r="R149" s="324">
        <f>IFERROR(SUMIFS('2024_2026'!$G$2:$G$976,'2024_2026'!$A$2:$A$976,$O149,'2024_2026'!$F$2:$F$976,21),"")</f>
        <v>4.9000000000000004</v>
      </c>
      <c r="S149" s="325">
        <f t="shared" si="8"/>
        <v>0.34090909090909088</v>
      </c>
      <c r="T149" s="326">
        <f t="shared" si="9"/>
        <v>0.234375</v>
      </c>
    </row>
    <row r="150" spans="15:20" ht="15" customHeight="1" x14ac:dyDescent="0.25">
      <c r="O150" s="203">
        <v>145</v>
      </c>
      <c r="P150" s="231" t="str">
        <f>IFERROR(INDEX('2024_2026'!$B$2:$B$976,MATCH($O150,'2024_2026'!$A$2:$A$976,0)),"")</f>
        <v>S</v>
      </c>
      <c r="Q150" s="324">
        <f>IFERROR(SUMIFS('2024_2026'!$G$2:$G$976,'2024_2026'!$A$2:$A$976,$O150,'2024_2026'!$F$2:$F$976,0),"")</f>
        <v>6.6</v>
      </c>
      <c r="R150" s="324">
        <f>IFERROR(SUMIFS('2024_2026'!$G$2:$G$976,'2024_2026'!$A$2:$A$976,$O150,'2024_2026'!$F$2:$F$976,21),"")</f>
        <v>5</v>
      </c>
      <c r="S150" s="325">
        <f t="shared" si="8"/>
        <v>0.34782608695652167</v>
      </c>
      <c r="T150" s="326">
        <f t="shared" si="9"/>
        <v>0.24242424242424238</v>
      </c>
    </row>
    <row r="151" spans="15:20" ht="15" customHeight="1" x14ac:dyDescent="0.25">
      <c r="O151" s="203">
        <v>146</v>
      </c>
      <c r="P151" s="231" t="str">
        <f>IFERROR(INDEX('2024_2026'!$B$2:$B$976,MATCH($O151,'2024_2026'!$A$2:$A$976,0)),"")</f>
        <v>S</v>
      </c>
      <c r="Q151" s="324">
        <f>IFERROR(SUMIFS('2024_2026'!$G$2:$G$976,'2024_2026'!$A$2:$A$976,$O151,'2024_2026'!$F$2:$F$976,0),"")</f>
        <v>7.6</v>
      </c>
      <c r="R151" s="324">
        <f>IFERROR(SUMIFS('2024_2026'!$G$2:$G$976,'2024_2026'!$A$2:$A$976,$O151,'2024_2026'!$F$2:$F$976,21),"")</f>
        <v>5.6</v>
      </c>
      <c r="S151" s="325">
        <f t="shared" si="8"/>
        <v>0.35714285714285715</v>
      </c>
      <c r="T151" s="326">
        <f t="shared" si="9"/>
        <v>0.26315789473684209</v>
      </c>
    </row>
    <row r="152" spans="15:20" ht="15" customHeight="1" x14ac:dyDescent="0.25">
      <c r="O152" s="203">
        <v>147</v>
      </c>
      <c r="P152" s="231" t="str">
        <f>IFERROR(INDEX('2024_2026'!$B$2:$B$976,MATCH($O152,'2024_2026'!$A$2:$A$976,0)),"")</f>
        <v>S</v>
      </c>
      <c r="Q152" s="324">
        <f>IFERROR(SUMIFS('2024_2026'!$G$2:$G$976,'2024_2026'!$A$2:$A$976,$O152,'2024_2026'!$F$2:$F$976,0),"")</f>
        <v>6.5</v>
      </c>
      <c r="R152" s="324">
        <f>IFERROR(SUMIFS('2024_2026'!$G$2:$G$976,'2024_2026'!$A$2:$A$976,$O152,'2024_2026'!$F$2:$F$976,21),"")</f>
        <v>4.7</v>
      </c>
      <c r="S152" s="325">
        <f t="shared" si="8"/>
        <v>0.39999999999999997</v>
      </c>
      <c r="T152" s="326">
        <f t="shared" si="9"/>
        <v>0.27692307692307688</v>
      </c>
    </row>
    <row r="153" spans="15:20" ht="15" customHeight="1" x14ac:dyDescent="0.25">
      <c r="O153" s="203">
        <v>148</v>
      </c>
      <c r="P153" s="231" t="str">
        <f>IFERROR(INDEX('2024_2026'!$B$2:$B$976,MATCH($O153,'2024_2026'!$A$2:$A$976,0)),"")</f>
        <v>S</v>
      </c>
      <c r="Q153" s="324">
        <f>IFERROR(SUMIFS('2024_2026'!$G$2:$G$976,'2024_2026'!$A$2:$A$976,$O153,'2024_2026'!$F$2:$F$976,0),"")</f>
        <v>6.8</v>
      </c>
      <c r="R153" s="324">
        <f>IFERROR(SUMIFS('2024_2026'!$G$2:$G$976,'2024_2026'!$A$2:$A$976,$O153,'2024_2026'!$F$2:$F$976,21),"")</f>
        <v>4.8</v>
      </c>
      <c r="S153" s="325">
        <f t="shared" si="8"/>
        <v>0.41666666666666669</v>
      </c>
      <c r="T153" s="326">
        <f t="shared" si="9"/>
        <v>0.29411764705882354</v>
      </c>
    </row>
    <row r="154" spans="15:20" ht="15" customHeight="1" x14ac:dyDescent="0.25">
      <c r="O154" s="203">
        <v>149</v>
      </c>
      <c r="P154" s="231" t="str">
        <f>IFERROR(INDEX('2024_2026'!$B$2:$B$976,MATCH($O154,'2024_2026'!$A$2:$A$976,0)),"")</f>
        <v>S</v>
      </c>
      <c r="Q154" s="324">
        <f>IFERROR(SUMIFS('2024_2026'!$G$2:$G$976,'2024_2026'!$A$2:$A$976,$O154,'2024_2026'!$F$2:$F$976,0),"")</f>
        <v>6.9</v>
      </c>
      <c r="R154" s="324">
        <f>IFERROR(SUMIFS('2024_2026'!$G$2:$G$976,'2024_2026'!$A$2:$A$976,$O154,'2024_2026'!$F$2:$F$976,21),"")</f>
        <v>5</v>
      </c>
      <c r="S154" s="325">
        <f t="shared" si="8"/>
        <v>0.38775510204081637</v>
      </c>
      <c r="T154" s="326">
        <f t="shared" si="9"/>
        <v>0.27536231884057977</v>
      </c>
    </row>
    <row r="155" spans="15:20" ht="15" customHeight="1" x14ac:dyDescent="0.25">
      <c r="O155" s="203">
        <v>150</v>
      </c>
      <c r="P155" s="231" t="str">
        <f>IFERROR(INDEX('2024_2026'!$B$2:$B$976,MATCH($O155,'2024_2026'!$A$2:$A$976,0)),"")</f>
        <v>S</v>
      </c>
      <c r="Q155" s="324">
        <f>IFERROR(SUMIFS('2024_2026'!$G$2:$G$976,'2024_2026'!$A$2:$A$976,$O155,'2024_2026'!$F$2:$F$976,0),"")</f>
        <v>7.9</v>
      </c>
      <c r="R155" s="324">
        <f>IFERROR(SUMIFS('2024_2026'!$G$2:$G$976,'2024_2026'!$A$2:$A$976,$O155,'2024_2026'!$F$2:$F$976,21),"")</f>
        <v>5.5</v>
      </c>
      <c r="S155" s="325">
        <f t="shared" si="8"/>
        <v>0.40677966101694918</v>
      </c>
      <c r="T155" s="326">
        <f t="shared" si="9"/>
        <v>0.30379746835443039</v>
      </c>
    </row>
    <row r="156" spans="15:20" ht="15" customHeight="1" x14ac:dyDescent="0.25">
      <c r="O156" s="203">
        <v>151</v>
      </c>
      <c r="P156" s="231" t="str">
        <f>IFERROR(INDEX('2024_2026'!$B$2:$B$976,MATCH($O156,'2024_2026'!$A$2:$A$976,0)),"")</f>
        <v>S</v>
      </c>
      <c r="Q156" s="324">
        <f>IFERROR(SUMIFS('2024_2026'!$G$2:$G$976,'2024_2026'!$A$2:$A$976,$O156,'2024_2026'!$F$2:$F$976,0),"")</f>
        <v>6.6</v>
      </c>
      <c r="R156" s="324">
        <f>IFERROR(SUMIFS('2024_2026'!$G$2:$G$976,'2024_2026'!$A$2:$A$976,$O156,'2024_2026'!$F$2:$F$976,21),"")</f>
        <v>4.9000000000000004</v>
      </c>
      <c r="S156" s="325">
        <f t="shared" si="8"/>
        <v>0.36956521739130421</v>
      </c>
      <c r="T156" s="326">
        <f t="shared" si="9"/>
        <v>0.25757575757575746</v>
      </c>
    </row>
    <row r="157" spans="15:20" ht="15" customHeight="1" x14ac:dyDescent="0.25">
      <c r="O157" s="203">
        <v>152</v>
      </c>
      <c r="P157" s="231" t="str">
        <f>IFERROR(INDEX('2024_2026'!$B$2:$B$976,MATCH($O157,'2024_2026'!$A$2:$A$976,0)),"")</f>
        <v>S</v>
      </c>
      <c r="Q157" s="324">
        <f>IFERROR(SUMIFS('2024_2026'!$G$2:$G$976,'2024_2026'!$A$2:$A$976,$O157,'2024_2026'!$F$2:$F$976,0),"")</f>
        <v>6.6</v>
      </c>
      <c r="R157" s="324">
        <f>IFERROR(SUMIFS('2024_2026'!$G$2:$G$976,'2024_2026'!$A$2:$A$976,$O157,'2024_2026'!$F$2:$F$976,21),"")</f>
        <v>5.0999999999999996</v>
      </c>
      <c r="S157" s="325">
        <f t="shared" si="8"/>
        <v>0.32608695652173914</v>
      </c>
      <c r="T157" s="326">
        <f t="shared" si="9"/>
        <v>0.22727272727272729</v>
      </c>
    </row>
    <row r="158" spans="15:20" ht="15" customHeight="1" x14ac:dyDescent="0.25">
      <c r="O158" s="203">
        <v>153</v>
      </c>
      <c r="P158" s="231" t="str">
        <f>IFERROR(INDEX('2024_2026'!$B$2:$B$976,MATCH($O158,'2024_2026'!$A$2:$A$976,0)),"")</f>
        <v>S</v>
      </c>
      <c r="Q158" s="324">
        <f>IFERROR(SUMIFS('2024_2026'!$G$2:$G$976,'2024_2026'!$A$2:$A$976,$O158,'2024_2026'!$F$2:$F$976,0),"")</f>
        <v>7.1</v>
      </c>
      <c r="R158" s="324">
        <f>IFERROR(SUMIFS('2024_2026'!$G$2:$G$976,'2024_2026'!$A$2:$A$976,$O158,'2024_2026'!$F$2:$F$976,21),"")</f>
        <v>5</v>
      </c>
      <c r="S158" s="325">
        <f t="shared" si="8"/>
        <v>0.41176470588235292</v>
      </c>
      <c r="T158" s="326">
        <f t="shared" si="9"/>
        <v>0.29577464788732388</v>
      </c>
    </row>
    <row r="159" spans="15:20" ht="15" customHeight="1" x14ac:dyDescent="0.25">
      <c r="O159" s="203">
        <v>154</v>
      </c>
      <c r="P159" s="231" t="str">
        <f>IFERROR(INDEX('2024_2026'!$B$2:$B$976,MATCH($O159,'2024_2026'!$A$2:$A$976,0)),"")</f>
        <v>S</v>
      </c>
      <c r="Q159" s="324">
        <f>IFERROR(SUMIFS('2024_2026'!$G$2:$G$976,'2024_2026'!$A$2:$A$976,$O159,'2024_2026'!$F$2:$F$976,0),"")</f>
        <v>6.9</v>
      </c>
      <c r="R159" s="324">
        <f>IFERROR(SUMIFS('2024_2026'!$G$2:$G$976,'2024_2026'!$A$2:$A$976,$O159,'2024_2026'!$F$2:$F$976,21),"")</f>
        <v>5.4</v>
      </c>
      <c r="S159" s="325">
        <f t="shared" si="8"/>
        <v>0.30612244897959179</v>
      </c>
      <c r="T159" s="326">
        <f t="shared" si="9"/>
        <v>0.21739130434782608</v>
      </c>
    </row>
    <row r="160" spans="15:20" ht="15" customHeight="1" x14ac:dyDescent="0.25">
      <c r="O160" s="203">
        <v>155</v>
      </c>
      <c r="P160" s="231" t="str">
        <f>IFERROR(INDEX('2024_2026'!$B$2:$B$976,MATCH($O160,'2024_2026'!$A$2:$A$976,0)),"")</f>
        <v>S</v>
      </c>
      <c r="Q160" s="324">
        <f>IFERROR(SUMIFS('2024_2026'!$G$2:$G$976,'2024_2026'!$A$2:$A$976,$O160,'2024_2026'!$F$2:$F$976,0),"")</f>
        <v>7.2</v>
      </c>
      <c r="R160" s="324">
        <f>IFERROR(SUMIFS('2024_2026'!$G$2:$G$976,'2024_2026'!$A$2:$A$976,$O160,'2024_2026'!$F$2:$F$976,21),"")</f>
        <v>5.5</v>
      </c>
      <c r="S160" s="325">
        <f t="shared" si="8"/>
        <v>0.32692307692307693</v>
      </c>
      <c r="T160" s="326">
        <f t="shared" si="9"/>
        <v>0.23611111111111113</v>
      </c>
    </row>
    <row r="161" spans="15:20" ht="15" customHeight="1" x14ac:dyDescent="0.25">
      <c r="O161" s="203">
        <v>156</v>
      </c>
      <c r="P161" s="231" t="str">
        <f>IFERROR(INDEX('2024_2026'!$B$2:$B$976,MATCH($O161,'2024_2026'!$A$2:$A$976,0)),"")</f>
        <v>S</v>
      </c>
      <c r="Q161" s="324">
        <f>IFERROR(SUMIFS('2024_2026'!$G$2:$G$976,'2024_2026'!$A$2:$A$976,$O161,'2024_2026'!$F$2:$F$976,0),"")</f>
        <v>7.5</v>
      </c>
      <c r="R161" s="324">
        <f>IFERROR(SUMIFS('2024_2026'!$G$2:$G$976,'2024_2026'!$A$2:$A$976,$O161,'2024_2026'!$F$2:$F$976,21),"")</f>
        <v>5.7</v>
      </c>
      <c r="S161" s="325">
        <f t="shared" si="8"/>
        <v>0.32727272727272722</v>
      </c>
      <c r="T161" s="326">
        <f t="shared" si="9"/>
        <v>0.23999999999999996</v>
      </c>
    </row>
    <row r="162" spans="15:20" ht="15" customHeight="1" x14ac:dyDescent="0.25">
      <c r="O162" s="203">
        <v>157</v>
      </c>
      <c r="P162" s="231" t="str">
        <f>IFERROR(INDEX('2024_2026'!$B$2:$B$976,MATCH($O162,'2024_2026'!$A$2:$A$976,0)),"")</f>
        <v>S</v>
      </c>
      <c r="Q162" s="324">
        <f>IFERROR(SUMIFS('2024_2026'!$G$2:$G$976,'2024_2026'!$A$2:$A$976,$O162,'2024_2026'!$F$2:$F$976,0),"")</f>
        <v>7.3</v>
      </c>
      <c r="R162" s="324">
        <f>IFERROR(SUMIFS('2024_2026'!$G$2:$G$976,'2024_2026'!$A$2:$A$976,$O162,'2024_2026'!$F$2:$F$976,21),"")</f>
        <v>5.4</v>
      </c>
      <c r="S162" s="325">
        <f t="shared" si="8"/>
        <v>0.35849056603773577</v>
      </c>
      <c r="T162" s="326">
        <f t="shared" si="9"/>
        <v>0.26027397260273966</v>
      </c>
    </row>
    <row r="163" spans="15:20" ht="15" customHeight="1" x14ac:dyDescent="0.25">
      <c r="O163" s="203">
        <v>158</v>
      </c>
      <c r="P163" s="231" t="str">
        <f>IFERROR(INDEX('2024_2026'!$B$2:$B$976,MATCH($O163,'2024_2026'!$A$2:$A$976,0)),"")</f>
        <v>S</v>
      </c>
      <c r="Q163" s="324">
        <f>IFERROR(SUMIFS('2024_2026'!$G$2:$G$976,'2024_2026'!$A$2:$A$976,$O163,'2024_2026'!$F$2:$F$976,0),"")</f>
        <v>6.7</v>
      </c>
      <c r="R163" s="324">
        <f>IFERROR(SUMIFS('2024_2026'!$G$2:$G$976,'2024_2026'!$A$2:$A$976,$O163,'2024_2026'!$F$2:$F$976,21),"")</f>
        <v>5.0999999999999996</v>
      </c>
      <c r="S163" s="325">
        <f t="shared" si="8"/>
        <v>0.34042553191489372</v>
      </c>
      <c r="T163" s="326">
        <f t="shared" si="9"/>
        <v>0.23880597014925381</v>
      </c>
    </row>
    <row r="164" spans="15:20" ht="15" customHeight="1" x14ac:dyDescent="0.25">
      <c r="O164" s="203">
        <v>159</v>
      </c>
      <c r="P164" s="231" t="str">
        <f>IFERROR(INDEX('2024_2026'!$B$2:$B$976,MATCH($O164,'2024_2026'!$A$2:$A$976,0)),"")</f>
        <v>S</v>
      </c>
      <c r="Q164" s="324">
        <f>IFERROR(SUMIFS('2024_2026'!$G$2:$G$976,'2024_2026'!$A$2:$A$976,$O164,'2024_2026'!$F$2:$F$976,0),"")</f>
        <v>6.4</v>
      </c>
      <c r="R164" s="324">
        <f>IFERROR(SUMIFS('2024_2026'!$G$2:$G$976,'2024_2026'!$A$2:$A$976,$O164,'2024_2026'!$F$2:$F$976,21),"")</f>
        <v>4.9000000000000004</v>
      </c>
      <c r="S164" s="325">
        <f t="shared" si="8"/>
        <v>0.34090909090909088</v>
      </c>
      <c r="T164" s="326">
        <f t="shared" si="9"/>
        <v>0.234375</v>
      </c>
    </row>
    <row r="165" spans="15:20" ht="15" customHeight="1" x14ac:dyDescent="0.25">
      <c r="O165" s="203">
        <v>160</v>
      </c>
      <c r="P165" s="231" t="str">
        <f>IFERROR(INDEX('2024_2026'!$B$2:$B$976,MATCH($O165,'2024_2026'!$A$2:$A$976,0)),"")</f>
        <v>S</v>
      </c>
      <c r="Q165" s="324">
        <f>IFERROR(SUMIFS('2024_2026'!$G$2:$G$976,'2024_2026'!$A$2:$A$976,$O165,'2024_2026'!$F$2:$F$976,0),"")</f>
        <v>7.4</v>
      </c>
      <c r="R165" s="324">
        <f>IFERROR(SUMIFS('2024_2026'!$G$2:$G$976,'2024_2026'!$A$2:$A$976,$O165,'2024_2026'!$F$2:$F$976,21),"")</f>
        <v>5.5</v>
      </c>
      <c r="S165" s="325">
        <f t="shared" si="8"/>
        <v>0.35185185185185192</v>
      </c>
      <c r="T165" s="326">
        <f t="shared" si="9"/>
        <v>0.2567567567567568</v>
      </c>
    </row>
    <row r="166" spans="15:20" ht="15" customHeight="1" x14ac:dyDescent="0.25">
      <c r="O166" s="203">
        <v>161</v>
      </c>
      <c r="P166" s="231" t="str">
        <f>IFERROR(INDEX('2024_2026'!$B$2:$B$976,MATCH($O166,'2024_2026'!$A$2:$A$976,0)),"")</f>
        <v>S</v>
      </c>
      <c r="Q166" s="324">
        <f>IFERROR(SUMIFS('2024_2026'!$G$2:$G$976,'2024_2026'!$A$2:$A$976,$O166,'2024_2026'!$F$2:$F$976,0),"")</f>
        <v>7.1</v>
      </c>
      <c r="R166" s="324">
        <f>IFERROR(SUMIFS('2024_2026'!$G$2:$G$976,'2024_2026'!$A$2:$A$976,$O166,'2024_2026'!$F$2:$F$976,21),"")</f>
        <v>5.4</v>
      </c>
      <c r="S166" s="325">
        <f t="shared" ref="S166:S200" si="10">IFERROR(MAX(0,MIN(1,($Q166-$R166)/($Q166-2))),"")</f>
        <v>0.3333333333333332</v>
      </c>
      <c r="T166" s="326">
        <f t="shared" ref="T166:T200" si="11">IFERROR(($Q166-$R166)/$Q166,"")</f>
        <v>0.23943661971830976</v>
      </c>
    </row>
    <row r="167" spans="15:20" ht="15" customHeight="1" x14ac:dyDescent="0.25">
      <c r="O167" s="203">
        <v>162</v>
      </c>
      <c r="P167" s="231" t="str">
        <f>IFERROR(INDEX('2024_2026'!$B$2:$B$976,MATCH($O167,'2024_2026'!$A$2:$A$976,0)),"")</f>
        <v>S</v>
      </c>
      <c r="Q167" s="324">
        <f>IFERROR(SUMIFS('2024_2026'!$G$2:$G$976,'2024_2026'!$A$2:$A$976,$O167,'2024_2026'!$F$2:$F$976,0),"")</f>
        <v>6.9</v>
      </c>
      <c r="R167" s="324">
        <f>IFERROR(SUMIFS('2024_2026'!$G$2:$G$976,'2024_2026'!$A$2:$A$976,$O167,'2024_2026'!$F$2:$F$976,21),"")</f>
        <v>5</v>
      </c>
      <c r="S167" s="325">
        <f t="shared" si="10"/>
        <v>0.38775510204081637</v>
      </c>
      <c r="T167" s="326">
        <f t="shared" si="11"/>
        <v>0.27536231884057977</v>
      </c>
    </row>
    <row r="168" spans="15:20" ht="15" customHeight="1" x14ac:dyDescent="0.25">
      <c r="O168" s="203">
        <v>163</v>
      </c>
      <c r="P168" s="231" t="str">
        <f>IFERROR(INDEX('2024_2026'!$B$2:$B$976,MATCH($O168,'2024_2026'!$A$2:$A$976,0)),"")</f>
        <v>S</v>
      </c>
      <c r="Q168" s="324">
        <f>IFERROR(SUMIFS('2024_2026'!$G$2:$G$976,'2024_2026'!$A$2:$A$976,$O168,'2024_2026'!$F$2:$F$976,0),"")</f>
        <v>5.7</v>
      </c>
      <c r="R168" s="324">
        <f>IFERROR(SUMIFS('2024_2026'!$G$2:$G$976,'2024_2026'!$A$2:$A$976,$O168,'2024_2026'!$F$2:$F$976,21),"")</f>
        <v>4</v>
      </c>
      <c r="S168" s="325">
        <f t="shared" si="10"/>
        <v>0.45945945945945948</v>
      </c>
      <c r="T168" s="326">
        <f t="shared" si="11"/>
        <v>0.29824561403508776</v>
      </c>
    </row>
    <row r="169" spans="15:20" ht="15" customHeight="1" x14ac:dyDescent="0.25">
      <c r="O169" s="203">
        <v>164</v>
      </c>
      <c r="P169" s="231" t="str">
        <f>IFERROR(INDEX('2024_2026'!$B$2:$B$976,MATCH($O169,'2024_2026'!$A$2:$A$976,0)),"")</f>
        <v>S</v>
      </c>
      <c r="Q169" s="324">
        <f>IFERROR(SUMIFS('2024_2026'!$G$2:$G$976,'2024_2026'!$A$2:$A$976,$O169,'2024_2026'!$F$2:$F$976,0),"")</f>
        <v>6.8</v>
      </c>
      <c r="R169" s="324">
        <f>IFERROR(SUMIFS('2024_2026'!$G$2:$G$976,'2024_2026'!$A$2:$A$976,$O169,'2024_2026'!$F$2:$F$976,21),"")</f>
        <v>4.9000000000000004</v>
      </c>
      <c r="S169" s="325">
        <f t="shared" si="10"/>
        <v>0.39583333333333326</v>
      </c>
      <c r="T169" s="326">
        <f t="shared" si="11"/>
        <v>0.2794117647058823</v>
      </c>
    </row>
    <row r="170" spans="15:20" ht="15" customHeight="1" x14ac:dyDescent="0.25">
      <c r="O170" s="203">
        <v>165</v>
      </c>
      <c r="P170" s="231" t="str">
        <f>IFERROR(INDEX('2024_2026'!$B$2:$B$976,MATCH($O170,'2024_2026'!$A$2:$A$976,0)),"")</f>
        <v>S</v>
      </c>
      <c r="Q170" s="324">
        <f>IFERROR(SUMIFS('2024_2026'!$G$2:$G$976,'2024_2026'!$A$2:$A$976,$O170,'2024_2026'!$F$2:$F$976,0),"")</f>
        <v>6.9</v>
      </c>
      <c r="R170" s="324">
        <f>IFERROR(SUMIFS('2024_2026'!$G$2:$G$976,'2024_2026'!$A$2:$A$976,$O170,'2024_2026'!$F$2:$F$976,21),"")</f>
        <v>5.3</v>
      </c>
      <c r="S170" s="325">
        <f t="shared" si="10"/>
        <v>0.32653061224489804</v>
      </c>
      <c r="T170" s="326">
        <f t="shared" si="11"/>
        <v>0.23188405797101455</v>
      </c>
    </row>
    <row r="171" spans="15:20" ht="15" customHeight="1" x14ac:dyDescent="0.25">
      <c r="O171" s="203">
        <v>166</v>
      </c>
      <c r="P171" s="231" t="str">
        <f>IFERROR(INDEX('2024_2026'!$B$2:$B$976,MATCH($O171,'2024_2026'!$A$2:$A$976,0)),"")</f>
        <v>S</v>
      </c>
      <c r="Q171" s="324">
        <f>IFERROR(SUMIFS('2024_2026'!$G$2:$G$976,'2024_2026'!$A$2:$A$976,$O171,'2024_2026'!$F$2:$F$976,0),"")</f>
        <v>7</v>
      </c>
      <c r="R171" s="324">
        <f>IFERROR(SUMIFS('2024_2026'!$G$2:$G$976,'2024_2026'!$A$2:$A$976,$O171,'2024_2026'!$F$2:$F$976,21),"")</f>
        <v>5.2</v>
      </c>
      <c r="S171" s="325">
        <f t="shared" si="10"/>
        <v>0.36</v>
      </c>
      <c r="T171" s="326">
        <f t="shared" si="11"/>
        <v>0.25714285714285712</v>
      </c>
    </row>
    <row r="172" spans="15:20" ht="15" customHeight="1" x14ac:dyDescent="0.25">
      <c r="O172" s="203">
        <v>167</v>
      </c>
      <c r="P172" s="231" t="str">
        <f>IFERROR(INDEX('2024_2026'!$B$2:$B$976,MATCH($O172,'2024_2026'!$A$2:$A$976,0)),"")</f>
        <v>S</v>
      </c>
      <c r="Q172" s="324">
        <f>IFERROR(SUMIFS('2024_2026'!$G$2:$G$976,'2024_2026'!$A$2:$A$976,$O172,'2024_2026'!$F$2:$F$976,0),"")</f>
        <v>7.2</v>
      </c>
      <c r="R172" s="324">
        <f>IFERROR(SUMIFS('2024_2026'!$G$2:$G$976,'2024_2026'!$A$2:$A$976,$O172,'2024_2026'!$F$2:$F$976,21),"")</f>
        <v>5.3</v>
      </c>
      <c r="S172" s="325">
        <f t="shared" si="10"/>
        <v>0.36538461538461542</v>
      </c>
      <c r="T172" s="326">
        <f t="shared" si="11"/>
        <v>0.26388888888888895</v>
      </c>
    </row>
    <row r="173" spans="15:20" ht="15" customHeight="1" x14ac:dyDescent="0.25">
      <c r="O173" s="203">
        <v>168</v>
      </c>
      <c r="P173" s="231" t="str">
        <f>IFERROR(INDEX('2024_2026'!$B$2:$B$976,MATCH($O173,'2024_2026'!$A$2:$A$976,0)),"")</f>
        <v>S</v>
      </c>
      <c r="Q173" s="324">
        <f>IFERROR(SUMIFS('2024_2026'!$G$2:$G$976,'2024_2026'!$A$2:$A$976,$O173,'2024_2026'!$F$2:$F$976,0),"")</f>
        <v>6.4</v>
      </c>
      <c r="R173" s="324">
        <f>IFERROR(SUMIFS('2024_2026'!$G$2:$G$976,'2024_2026'!$A$2:$A$976,$O173,'2024_2026'!$F$2:$F$976,21),"")</f>
        <v>4.5999999999999996</v>
      </c>
      <c r="S173" s="325">
        <f t="shared" si="10"/>
        <v>0.40909090909090923</v>
      </c>
      <c r="T173" s="326">
        <f t="shared" si="11"/>
        <v>0.28125000000000011</v>
      </c>
    </row>
    <row r="174" spans="15:20" ht="15" customHeight="1" x14ac:dyDescent="0.25">
      <c r="O174" s="203">
        <v>169</v>
      </c>
      <c r="P174" s="231" t="str">
        <f>IFERROR(INDEX('2024_2026'!$B$2:$B$976,MATCH($O174,'2024_2026'!$A$2:$A$976,0)),"")</f>
        <v>S</v>
      </c>
      <c r="Q174" s="324">
        <f>IFERROR(SUMIFS('2024_2026'!$G$2:$G$976,'2024_2026'!$A$2:$A$976,$O174,'2024_2026'!$F$2:$F$976,0),"")</f>
        <v>6.9</v>
      </c>
      <c r="R174" s="324">
        <f>IFERROR(SUMIFS('2024_2026'!$G$2:$G$976,'2024_2026'!$A$2:$A$976,$O174,'2024_2026'!$F$2:$F$976,21),"")</f>
        <v>4.9000000000000004</v>
      </c>
      <c r="S174" s="325">
        <f t="shared" si="10"/>
        <v>0.4081632653061224</v>
      </c>
      <c r="T174" s="326">
        <f t="shared" si="11"/>
        <v>0.28985507246376813</v>
      </c>
    </row>
    <row r="175" spans="15:20" ht="15" customHeight="1" x14ac:dyDescent="0.25">
      <c r="O175" s="203">
        <v>170</v>
      </c>
      <c r="P175" s="231" t="str">
        <f>IFERROR(INDEX('2024_2026'!$B$2:$B$976,MATCH($O175,'2024_2026'!$A$2:$A$976,0)),"")</f>
        <v>S</v>
      </c>
      <c r="Q175" s="324">
        <f>IFERROR(SUMIFS('2024_2026'!$G$2:$G$976,'2024_2026'!$A$2:$A$976,$O175,'2024_2026'!$F$2:$F$976,0),"")</f>
        <v>7.3</v>
      </c>
      <c r="R175" s="324">
        <f>IFERROR(SUMIFS('2024_2026'!$G$2:$G$976,'2024_2026'!$A$2:$A$976,$O175,'2024_2026'!$F$2:$F$976,21),"")</f>
        <v>5.0999999999999996</v>
      </c>
      <c r="S175" s="325">
        <f t="shared" si="10"/>
        <v>0.41509433962264158</v>
      </c>
      <c r="T175" s="326">
        <f t="shared" si="11"/>
        <v>0.30136986301369867</v>
      </c>
    </row>
    <row r="176" spans="15:20" ht="15" customHeight="1" x14ac:dyDescent="0.25">
      <c r="O176" s="203">
        <v>171</v>
      </c>
      <c r="P176" s="231" t="str">
        <f>IFERROR(INDEX('2024_2026'!$B$2:$B$976,MATCH($O176,'2024_2026'!$A$2:$A$976,0)),"")</f>
        <v>S</v>
      </c>
      <c r="Q176" s="324">
        <f>IFERROR(SUMIFS('2024_2026'!$G$2:$G$976,'2024_2026'!$A$2:$A$976,$O176,'2024_2026'!$F$2:$F$976,0),"")</f>
        <v>6.3</v>
      </c>
      <c r="R176" s="324">
        <f>IFERROR(SUMIFS('2024_2026'!$G$2:$G$976,'2024_2026'!$A$2:$A$976,$O176,'2024_2026'!$F$2:$F$976,21),"")</f>
        <v>4.8</v>
      </c>
      <c r="S176" s="325">
        <f t="shared" si="10"/>
        <v>0.34883720930232559</v>
      </c>
      <c r="T176" s="326">
        <f t="shared" si="11"/>
        <v>0.23809523809523811</v>
      </c>
    </row>
    <row r="177" spans="15:20" ht="15" customHeight="1" x14ac:dyDescent="0.25">
      <c r="O177" s="203">
        <v>172</v>
      </c>
      <c r="P177" s="231" t="str">
        <f>IFERROR(INDEX('2024_2026'!$B$2:$B$976,MATCH($O177,'2024_2026'!$A$2:$A$976,0)),"")</f>
        <v>S</v>
      </c>
      <c r="Q177" s="324">
        <f>IFERROR(SUMIFS('2024_2026'!$G$2:$G$976,'2024_2026'!$A$2:$A$976,$O177,'2024_2026'!$F$2:$F$976,0),"")</f>
        <v>6.9</v>
      </c>
      <c r="R177" s="324">
        <f>IFERROR(SUMIFS('2024_2026'!$G$2:$G$976,'2024_2026'!$A$2:$A$976,$O177,'2024_2026'!$F$2:$F$976,21),"")</f>
        <v>5</v>
      </c>
      <c r="S177" s="325">
        <f t="shared" si="10"/>
        <v>0.38775510204081637</v>
      </c>
      <c r="T177" s="326">
        <f t="shared" si="11"/>
        <v>0.27536231884057977</v>
      </c>
    </row>
    <row r="178" spans="15:20" ht="15" customHeight="1" x14ac:dyDescent="0.25">
      <c r="O178" s="203">
        <v>173</v>
      </c>
      <c r="P178" s="231" t="str">
        <f>IFERROR(INDEX('2024_2026'!$B$2:$B$976,MATCH($O178,'2024_2026'!$A$2:$A$976,0)),"")</f>
        <v>S</v>
      </c>
      <c r="Q178" s="324">
        <f>IFERROR(SUMIFS('2024_2026'!$G$2:$G$976,'2024_2026'!$A$2:$A$976,$O178,'2024_2026'!$F$2:$F$976,0),"")</f>
        <v>7.2</v>
      </c>
      <c r="R178" s="324">
        <f>IFERROR(SUMIFS('2024_2026'!$G$2:$G$976,'2024_2026'!$A$2:$A$976,$O178,'2024_2026'!$F$2:$F$976,21),"")</f>
        <v>5.3</v>
      </c>
      <c r="S178" s="325">
        <f t="shared" si="10"/>
        <v>0.36538461538461542</v>
      </c>
      <c r="T178" s="326">
        <f t="shared" si="11"/>
        <v>0.26388888888888895</v>
      </c>
    </row>
    <row r="179" spans="15:20" ht="15" customHeight="1" x14ac:dyDescent="0.25">
      <c r="O179" s="203">
        <v>174</v>
      </c>
      <c r="P179" s="231" t="str">
        <f>IFERROR(INDEX('2024_2026'!$B$2:$B$976,MATCH($O179,'2024_2026'!$A$2:$A$976,0)),"")</f>
        <v>S</v>
      </c>
      <c r="Q179" s="324">
        <f>IFERROR(SUMIFS('2024_2026'!$G$2:$G$976,'2024_2026'!$A$2:$A$976,$O179,'2024_2026'!$F$2:$F$976,0),"")</f>
        <v>6.6</v>
      </c>
      <c r="R179" s="324">
        <f>IFERROR(SUMIFS('2024_2026'!$G$2:$G$976,'2024_2026'!$A$2:$A$976,$O179,'2024_2026'!$F$2:$F$976,21),"")</f>
        <v>4.5999999999999996</v>
      </c>
      <c r="S179" s="325">
        <f t="shared" si="10"/>
        <v>0.43478260869565222</v>
      </c>
      <c r="T179" s="326">
        <f t="shared" si="11"/>
        <v>0.30303030303030304</v>
      </c>
    </row>
    <row r="180" spans="15:20" ht="15" customHeight="1" x14ac:dyDescent="0.25">
      <c r="O180" s="203">
        <v>175</v>
      </c>
      <c r="P180" s="231" t="str">
        <f>IFERROR(INDEX('2024_2026'!$B$2:$B$976,MATCH($O180,'2024_2026'!$A$2:$A$976,0)),"")</f>
        <v>S</v>
      </c>
      <c r="Q180" s="324">
        <f>IFERROR(SUMIFS('2024_2026'!$G$2:$G$976,'2024_2026'!$A$2:$A$976,$O180,'2024_2026'!$F$2:$F$976,0),"")</f>
        <v>7.2</v>
      </c>
      <c r="R180" s="324">
        <f>IFERROR(SUMIFS('2024_2026'!$G$2:$G$976,'2024_2026'!$A$2:$A$976,$O180,'2024_2026'!$F$2:$F$976,21),"")</f>
        <v>5.4</v>
      </c>
      <c r="S180" s="325">
        <f t="shared" si="10"/>
        <v>0.34615384615384609</v>
      </c>
      <c r="T180" s="326">
        <f t="shared" si="11"/>
        <v>0.24999999999999997</v>
      </c>
    </row>
    <row r="181" spans="15:20" ht="15" customHeight="1" x14ac:dyDescent="0.25">
      <c r="O181" s="203">
        <v>176</v>
      </c>
      <c r="P181" s="231" t="str">
        <f>IFERROR(INDEX('2024_2026'!$B$2:$B$976,MATCH($O181,'2024_2026'!$A$2:$A$976,0)),"")</f>
        <v>S</v>
      </c>
      <c r="Q181" s="324">
        <f>IFERROR(SUMIFS('2024_2026'!$G$2:$G$976,'2024_2026'!$A$2:$A$976,$O181,'2024_2026'!$F$2:$F$976,0),"")</f>
        <v>6.5</v>
      </c>
      <c r="R181" s="324">
        <f>IFERROR(SUMIFS('2024_2026'!$G$2:$G$976,'2024_2026'!$A$2:$A$976,$O181,'2024_2026'!$F$2:$F$976,21),"")</f>
        <v>4.8</v>
      </c>
      <c r="S181" s="325">
        <f t="shared" si="10"/>
        <v>0.37777777777777782</v>
      </c>
      <c r="T181" s="326">
        <f t="shared" si="11"/>
        <v>0.26153846153846155</v>
      </c>
    </row>
    <row r="182" spans="15:20" ht="15" customHeight="1" x14ac:dyDescent="0.25">
      <c r="O182" s="203">
        <v>177</v>
      </c>
      <c r="P182" s="231" t="str">
        <f>IFERROR(INDEX('2024_2026'!$B$2:$B$976,MATCH($O182,'2024_2026'!$A$2:$A$976,0)),"")</f>
        <v>S</v>
      </c>
      <c r="Q182" s="324">
        <f>IFERROR(SUMIFS('2024_2026'!$G$2:$G$976,'2024_2026'!$A$2:$A$976,$O182,'2024_2026'!$F$2:$F$976,0),"")</f>
        <v>6.9</v>
      </c>
      <c r="R182" s="324">
        <f>IFERROR(SUMIFS('2024_2026'!$G$2:$G$976,'2024_2026'!$A$2:$A$976,$O182,'2024_2026'!$F$2:$F$976,21),"")</f>
        <v>4.5999999999999996</v>
      </c>
      <c r="S182" s="325">
        <f t="shared" si="10"/>
        <v>0.46938775510204095</v>
      </c>
      <c r="T182" s="326">
        <f t="shared" si="11"/>
        <v>0.33333333333333343</v>
      </c>
    </row>
    <row r="183" spans="15:20" ht="15" customHeight="1" x14ac:dyDescent="0.25">
      <c r="O183" s="203">
        <v>178</v>
      </c>
      <c r="P183" s="231" t="str">
        <f>IFERROR(INDEX('2024_2026'!$B$2:$B$976,MATCH($O183,'2024_2026'!$A$2:$A$976,0)),"")</f>
        <v>S</v>
      </c>
      <c r="Q183" s="324">
        <f>IFERROR(SUMIFS('2024_2026'!$G$2:$G$976,'2024_2026'!$A$2:$A$976,$O183,'2024_2026'!$F$2:$F$976,0),"")</f>
        <v>7.3</v>
      </c>
      <c r="R183" s="324">
        <f>IFERROR(SUMIFS('2024_2026'!$G$2:$G$976,'2024_2026'!$A$2:$A$976,$O183,'2024_2026'!$F$2:$F$976,21),"")</f>
        <v>5.6</v>
      </c>
      <c r="S183" s="325">
        <f t="shared" si="10"/>
        <v>0.32075471698113212</v>
      </c>
      <c r="T183" s="326">
        <f t="shared" si="11"/>
        <v>0.23287671232876717</v>
      </c>
    </row>
    <row r="184" spans="15:20" ht="15" customHeight="1" x14ac:dyDescent="0.25">
      <c r="O184" s="203">
        <v>179</v>
      </c>
      <c r="P184" s="231" t="str">
        <f>IFERROR(INDEX('2024_2026'!$B$2:$B$976,MATCH($O184,'2024_2026'!$A$2:$A$976,0)),"")</f>
        <v>S</v>
      </c>
      <c r="Q184" s="324">
        <f>IFERROR(SUMIFS('2024_2026'!$G$2:$G$976,'2024_2026'!$A$2:$A$976,$O184,'2024_2026'!$F$2:$F$976,0),"")</f>
        <v>6.8</v>
      </c>
      <c r="R184" s="324">
        <f>IFERROR(SUMIFS('2024_2026'!$G$2:$G$976,'2024_2026'!$A$2:$A$976,$O184,'2024_2026'!$F$2:$F$976,21),"")</f>
        <v>5.2</v>
      </c>
      <c r="S184" s="325">
        <f t="shared" si="10"/>
        <v>0.33333333333333326</v>
      </c>
      <c r="T184" s="326">
        <f t="shared" si="11"/>
        <v>0.23529411764705876</v>
      </c>
    </row>
    <row r="185" spans="15:20" ht="15" customHeight="1" x14ac:dyDescent="0.25">
      <c r="O185" s="203">
        <v>180</v>
      </c>
      <c r="P185" s="231" t="str">
        <f>IFERROR(INDEX('2024_2026'!$B$2:$B$976,MATCH($O185,'2024_2026'!$A$2:$A$976,0)),"")</f>
        <v>S</v>
      </c>
      <c r="Q185" s="324">
        <f>IFERROR(SUMIFS('2024_2026'!$G$2:$G$976,'2024_2026'!$A$2:$A$976,$O185,'2024_2026'!$F$2:$F$976,0),"")</f>
        <v>7.5</v>
      </c>
      <c r="R185" s="324">
        <f>IFERROR(SUMIFS('2024_2026'!$G$2:$G$976,'2024_2026'!$A$2:$A$976,$O185,'2024_2026'!$F$2:$F$976,21),"")</f>
        <v>5.4</v>
      </c>
      <c r="S185" s="325">
        <f t="shared" si="10"/>
        <v>0.38181818181818178</v>
      </c>
      <c r="T185" s="326">
        <f t="shared" si="11"/>
        <v>0.27999999999999997</v>
      </c>
    </row>
    <row r="186" spans="15:20" ht="15" customHeight="1" x14ac:dyDescent="0.25">
      <c r="O186" s="203">
        <v>181</v>
      </c>
      <c r="P186" s="231" t="str">
        <f>IFERROR(INDEX('2024_2026'!$B$2:$B$976,MATCH($O186,'2024_2026'!$A$2:$A$976,0)),"")</f>
        <v>S</v>
      </c>
      <c r="Q186" s="324">
        <f>IFERROR(SUMIFS('2024_2026'!$G$2:$G$976,'2024_2026'!$A$2:$A$976,$O186,'2024_2026'!$F$2:$F$976,0),"")</f>
        <v>7.7</v>
      </c>
      <c r="R186" s="324">
        <f>IFERROR(SUMIFS('2024_2026'!$G$2:$G$976,'2024_2026'!$A$2:$A$976,$O186,'2024_2026'!$F$2:$F$976,21),"")</f>
        <v>5.6</v>
      </c>
      <c r="S186" s="325">
        <f t="shared" si="10"/>
        <v>0.36842105263157904</v>
      </c>
      <c r="T186" s="326">
        <f t="shared" si="11"/>
        <v>0.27272727272727276</v>
      </c>
    </row>
    <row r="187" spans="15:20" ht="15" customHeight="1" x14ac:dyDescent="0.25">
      <c r="O187" s="203">
        <v>182</v>
      </c>
      <c r="P187" s="231" t="str">
        <f>IFERROR(INDEX('2024_2026'!$B$2:$B$976,MATCH($O187,'2024_2026'!$A$2:$A$976,0)),"")</f>
        <v>S</v>
      </c>
      <c r="Q187" s="324">
        <f>IFERROR(SUMIFS('2024_2026'!$G$2:$G$976,'2024_2026'!$A$2:$A$976,$O187,'2024_2026'!$F$2:$F$976,0),"")</f>
        <v>6.5</v>
      </c>
      <c r="R187" s="324">
        <f>IFERROR(SUMIFS('2024_2026'!$G$2:$G$976,'2024_2026'!$A$2:$A$976,$O187,'2024_2026'!$F$2:$F$976,21),"")</f>
        <v>4.7</v>
      </c>
      <c r="S187" s="325">
        <f t="shared" si="10"/>
        <v>0.39999999999999997</v>
      </c>
      <c r="T187" s="326">
        <f t="shared" si="11"/>
        <v>0.27692307692307688</v>
      </c>
    </row>
    <row r="188" spans="15:20" ht="15" customHeight="1" x14ac:dyDescent="0.25">
      <c r="O188" s="203">
        <v>183</v>
      </c>
      <c r="P188" s="231" t="str">
        <f>IFERROR(INDEX('2024_2026'!$B$2:$B$976,MATCH($O188,'2024_2026'!$A$2:$A$976,0)),"")</f>
        <v>S</v>
      </c>
      <c r="Q188" s="324">
        <f>IFERROR(SUMIFS('2024_2026'!$G$2:$G$976,'2024_2026'!$A$2:$A$976,$O188,'2024_2026'!$F$2:$F$976,0),"")</f>
        <v>6.8</v>
      </c>
      <c r="R188" s="324">
        <f>IFERROR(SUMIFS('2024_2026'!$G$2:$G$976,'2024_2026'!$A$2:$A$976,$O188,'2024_2026'!$F$2:$F$976,21),"")</f>
        <v>5.0999999999999996</v>
      </c>
      <c r="S188" s="325">
        <f t="shared" si="10"/>
        <v>0.35416666666666674</v>
      </c>
      <c r="T188" s="326">
        <f t="shared" si="11"/>
        <v>0.25000000000000006</v>
      </c>
    </row>
    <row r="189" spans="15:20" ht="15" customHeight="1" x14ac:dyDescent="0.25">
      <c r="O189" s="203">
        <v>184</v>
      </c>
      <c r="P189" s="231" t="str">
        <f>IFERROR(INDEX('2024_2026'!$B$2:$B$976,MATCH($O189,'2024_2026'!$A$2:$A$976,0)),"")</f>
        <v>S</v>
      </c>
      <c r="Q189" s="324">
        <f>IFERROR(SUMIFS('2024_2026'!$G$2:$G$976,'2024_2026'!$A$2:$A$976,$O189,'2024_2026'!$F$2:$F$976,0),"")</f>
        <v>6.9</v>
      </c>
      <c r="R189" s="324">
        <f>IFERROR(SUMIFS('2024_2026'!$G$2:$G$976,'2024_2026'!$A$2:$A$976,$O189,'2024_2026'!$F$2:$F$976,21),"")</f>
        <v>5.2</v>
      </c>
      <c r="S189" s="325">
        <f t="shared" si="10"/>
        <v>0.34693877551020408</v>
      </c>
      <c r="T189" s="326">
        <f t="shared" si="11"/>
        <v>0.24637681159420291</v>
      </c>
    </row>
    <row r="190" spans="15:20" ht="15" customHeight="1" x14ac:dyDescent="0.25">
      <c r="O190" s="203">
        <v>185</v>
      </c>
      <c r="P190" s="231" t="str">
        <f>IFERROR(INDEX('2024_2026'!$B$2:$B$976,MATCH($O190,'2024_2026'!$A$2:$A$976,0)),"")</f>
        <v>S</v>
      </c>
      <c r="Q190" s="324">
        <f>IFERROR(SUMIFS('2024_2026'!$G$2:$G$976,'2024_2026'!$A$2:$A$976,$O190,'2024_2026'!$F$2:$F$976,0),"")</f>
        <v>7</v>
      </c>
      <c r="R190" s="324">
        <f>IFERROR(SUMIFS('2024_2026'!$G$2:$G$976,'2024_2026'!$A$2:$A$976,$O190,'2024_2026'!$F$2:$F$976,21),"")</f>
        <v>5.0999999999999996</v>
      </c>
      <c r="S190" s="325">
        <f t="shared" si="10"/>
        <v>0.38000000000000006</v>
      </c>
      <c r="T190" s="326">
        <f t="shared" si="11"/>
        <v>0.27142857142857146</v>
      </c>
    </row>
    <row r="191" spans="15:20" ht="15" customHeight="1" x14ac:dyDescent="0.25">
      <c r="O191" s="203">
        <v>186</v>
      </c>
      <c r="P191" s="231" t="str">
        <f>IFERROR(INDEX('2024_2026'!$B$2:$B$976,MATCH($O191,'2024_2026'!$A$2:$A$976,0)),"")</f>
        <v>S</v>
      </c>
      <c r="Q191" s="324">
        <f>IFERROR(SUMIFS('2024_2026'!$G$2:$G$976,'2024_2026'!$A$2:$A$976,$O191,'2024_2026'!$F$2:$F$976,0),"")</f>
        <v>5.9</v>
      </c>
      <c r="R191" s="324">
        <f>IFERROR(SUMIFS('2024_2026'!$G$2:$G$976,'2024_2026'!$A$2:$A$976,$O191,'2024_2026'!$F$2:$F$976,21),"")</f>
        <v>4.3</v>
      </c>
      <c r="S191" s="325">
        <f t="shared" si="10"/>
        <v>0.41025641025641035</v>
      </c>
      <c r="T191" s="326">
        <f t="shared" si="11"/>
        <v>0.27118644067796616</v>
      </c>
    </row>
    <row r="192" spans="15:20" ht="15" customHeight="1" x14ac:dyDescent="0.25">
      <c r="O192" s="203">
        <v>187</v>
      </c>
      <c r="P192" s="231" t="str">
        <f>IFERROR(INDEX('2024_2026'!$B$2:$B$976,MATCH($O192,'2024_2026'!$A$2:$A$976,0)),"")</f>
        <v>S</v>
      </c>
      <c r="Q192" s="324">
        <f>IFERROR(SUMIFS('2024_2026'!$G$2:$G$976,'2024_2026'!$A$2:$A$976,$O192,'2024_2026'!$F$2:$F$976,0),"")</f>
        <v>8.5</v>
      </c>
      <c r="R192" s="324">
        <f>IFERROR(SUMIFS('2024_2026'!$G$2:$G$976,'2024_2026'!$A$2:$A$976,$O192,'2024_2026'!$F$2:$F$976,21),"")</f>
        <v>6</v>
      </c>
      <c r="S192" s="325">
        <f t="shared" si="10"/>
        <v>0.38461538461538464</v>
      </c>
      <c r="T192" s="326">
        <f t="shared" si="11"/>
        <v>0.29411764705882354</v>
      </c>
    </row>
    <row r="193" spans="15:20" ht="15" customHeight="1" x14ac:dyDescent="0.25">
      <c r="O193" s="203">
        <v>188</v>
      </c>
      <c r="P193" s="231" t="str">
        <f>IFERROR(INDEX('2024_2026'!$B$2:$B$976,MATCH($O193,'2024_2026'!$A$2:$A$976,0)),"")</f>
        <v>S</v>
      </c>
      <c r="Q193" s="324">
        <f>IFERROR(SUMIFS('2024_2026'!$G$2:$G$976,'2024_2026'!$A$2:$A$976,$O193,'2024_2026'!$F$2:$F$976,0),"")</f>
        <v>6.5</v>
      </c>
      <c r="R193" s="324">
        <f>IFERROR(SUMIFS('2024_2026'!$G$2:$G$976,'2024_2026'!$A$2:$A$976,$O193,'2024_2026'!$F$2:$F$976,21),"")</f>
        <v>5</v>
      </c>
      <c r="S193" s="325">
        <f t="shared" si="10"/>
        <v>0.33333333333333331</v>
      </c>
      <c r="T193" s="326">
        <f t="shared" si="11"/>
        <v>0.23076923076923078</v>
      </c>
    </row>
    <row r="194" spans="15:20" ht="15" customHeight="1" x14ac:dyDescent="0.25">
      <c r="O194" s="203">
        <v>189</v>
      </c>
      <c r="P194" s="231" t="str">
        <f>IFERROR(INDEX('2024_2026'!$B$2:$B$976,MATCH($O194,'2024_2026'!$A$2:$A$976,0)),"")</f>
        <v>S</v>
      </c>
      <c r="Q194" s="324">
        <f>IFERROR(SUMIFS('2024_2026'!$G$2:$G$976,'2024_2026'!$A$2:$A$976,$O194,'2024_2026'!$F$2:$F$976,0),"")</f>
        <v>6.7</v>
      </c>
      <c r="R194" s="324">
        <f>IFERROR(SUMIFS('2024_2026'!$G$2:$G$976,'2024_2026'!$A$2:$A$976,$O194,'2024_2026'!$F$2:$F$976,21),"")</f>
        <v>4.8</v>
      </c>
      <c r="S194" s="325">
        <f t="shared" si="10"/>
        <v>0.40425531914893625</v>
      </c>
      <c r="T194" s="326">
        <f t="shared" si="11"/>
        <v>0.28358208955223885</v>
      </c>
    </row>
    <row r="195" spans="15:20" ht="15" customHeight="1" x14ac:dyDescent="0.25">
      <c r="O195" s="203">
        <v>190</v>
      </c>
      <c r="P195" s="231" t="str">
        <f>IFERROR(INDEX('2024_2026'!$B$2:$B$976,MATCH($O195,'2024_2026'!$A$2:$A$976,0)),"")</f>
        <v>S</v>
      </c>
      <c r="Q195" s="324">
        <f>IFERROR(SUMIFS('2024_2026'!$G$2:$G$976,'2024_2026'!$A$2:$A$976,$O195,'2024_2026'!$F$2:$F$976,0),"")</f>
        <v>6.9</v>
      </c>
      <c r="R195" s="324">
        <f>IFERROR(SUMIFS('2024_2026'!$G$2:$G$976,'2024_2026'!$A$2:$A$976,$O195,'2024_2026'!$F$2:$F$976,21),"")</f>
        <v>5.4</v>
      </c>
      <c r="S195" s="325">
        <f t="shared" si="10"/>
        <v>0.30612244897959179</v>
      </c>
      <c r="T195" s="326">
        <f t="shared" si="11"/>
        <v>0.21739130434782608</v>
      </c>
    </row>
    <row r="196" spans="15:20" ht="15" customHeight="1" x14ac:dyDescent="0.25">
      <c r="O196" s="203">
        <v>191</v>
      </c>
      <c r="P196" s="231" t="str">
        <f>IFERROR(INDEX('2024_2026'!$B$2:$B$976,MATCH($O196,'2024_2026'!$A$2:$A$976,0)),"")</f>
        <v>S</v>
      </c>
      <c r="Q196" s="324">
        <f>IFERROR(SUMIFS('2024_2026'!$G$2:$G$976,'2024_2026'!$A$2:$A$976,$O196,'2024_2026'!$F$2:$F$976,0),"")</f>
        <v>7</v>
      </c>
      <c r="R196" s="324">
        <f>IFERROR(SUMIFS('2024_2026'!$G$2:$G$976,'2024_2026'!$A$2:$A$976,$O196,'2024_2026'!$F$2:$F$976,21),"")</f>
        <v>5.7</v>
      </c>
      <c r="S196" s="325">
        <f t="shared" si="10"/>
        <v>0.25999999999999995</v>
      </c>
      <c r="T196" s="326">
        <f t="shared" si="11"/>
        <v>0.18571428571428569</v>
      </c>
    </row>
    <row r="197" spans="15:20" ht="15" customHeight="1" x14ac:dyDescent="0.25">
      <c r="O197" s="203">
        <v>192</v>
      </c>
      <c r="P197" s="231" t="str">
        <f>IFERROR(INDEX('2024_2026'!$B$2:$B$976,MATCH($O197,'2024_2026'!$A$2:$A$976,0)),"")</f>
        <v>S</v>
      </c>
      <c r="Q197" s="324">
        <f>IFERROR(SUMIFS('2024_2026'!$G$2:$G$976,'2024_2026'!$A$2:$A$976,$O197,'2024_2026'!$F$2:$F$976,0),"")</f>
        <v>7</v>
      </c>
      <c r="R197" s="324">
        <f>IFERROR(SUMIFS('2024_2026'!$G$2:$G$976,'2024_2026'!$A$2:$A$976,$O197,'2024_2026'!$F$2:$F$976,21),"")</f>
        <v>4.9000000000000004</v>
      </c>
      <c r="S197" s="325">
        <f t="shared" si="10"/>
        <v>0.41999999999999993</v>
      </c>
      <c r="T197" s="326">
        <f t="shared" si="11"/>
        <v>0.29999999999999993</v>
      </c>
    </row>
    <row r="198" spans="15:20" ht="15" customHeight="1" x14ac:dyDescent="0.25">
      <c r="O198" s="203">
        <v>193</v>
      </c>
      <c r="P198" s="231" t="str">
        <f>IFERROR(INDEX('2024_2026'!$B$2:$B$976,MATCH($O198,'2024_2026'!$A$2:$A$976,0)),"")</f>
        <v>S</v>
      </c>
      <c r="Q198" s="324">
        <f>IFERROR(SUMIFS('2024_2026'!$G$2:$G$976,'2024_2026'!$A$2:$A$976,$O198,'2024_2026'!$F$2:$F$976,0),"")</f>
        <v>7.6</v>
      </c>
      <c r="R198" s="324">
        <f>IFERROR(SUMIFS('2024_2026'!$G$2:$G$976,'2024_2026'!$A$2:$A$976,$O198,'2024_2026'!$F$2:$F$976,21),"")</f>
        <v>5.6</v>
      </c>
      <c r="S198" s="325">
        <f t="shared" si="10"/>
        <v>0.35714285714285715</v>
      </c>
      <c r="T198" s="326">
        <f t="shared" si="11"/>
        <v>0.26315789473684209</v>
      </c>
    </row>
    <row r="199" spans="15:20" ht="15" customHeight="1" x14ac:dyDescent="0.25">
      <c r="O199" s="203">
        <v>194</v>
      </c>
      <c r="P199" s="231" t="str">
        <f>IFERROR(INDEX('2024_2026'!$B$2:$B$976,MATCH($O199,'2024_2026'!$A$2:$A$976,0)),"")</f>
        <v>S</v>
      </c>
      <c r="Q199" s="324">
        <f>IFERROR(SUMIFS('2024_2026'!$G$2:$G$976,'2024_2026'!$A$2:$A$976,$O199,'2024_2026'!$F$2:$F$976,0),"")</f>
        <v>7</v>
      </c>
      <c r="R199" s="324">
        <f>IFERROR(SUMIFS('2024_2026'!$G$2:$G$976,'2024_2026'!$A$2:$A$976,$O199,'2024_2026'!$F$2:$F$976,21),"")</f>
        <v>5.0999999999999996</v>
      </c>
      <c r="S199" s="325">
        <f t="shared" si="10"/>
        <v>0.38000000000000006</v>
      </c>
      <c r="T199" s="326">
        <f t="shared" si="11"/>
        <v>0.27142857142857146</v>
      </c>
    </row>
    <row r="200" spans="15:20" ht="15" customHeight="1" x14ac:dyDescent="0.25">
      <c r="O200" s="203">
        <v>195</v>
      </c>
      <c r="P200" s="231" t="str">
        <f>IFERROR(INDEX('2024_2026'!$B$2:$B$976,MATCH($O200,'2024_2026'!$A$2:$A$976,0)),"")</f>
        <v>S</v>
      </c>
      <c r="Q200" s="324">
        <f>IFERROR(SUMIFS('2024_2026'!$G$2:$G$976,'2024_2026'!$A$2:$A$976,$O200,'2024_2026'!$F$2:$F$976,0),"")</f>
        <v>6.9</v>
      </c>
      <c r="R200" s="324">
        <f>IFERROR(SUMIFS('2024_2026'!$G$2:$G$976,'2024_2026'!$A$2:$A$976,$O200,'2024_2026'!$F$2:$F$976,21),"")</f>
        <v>5.2</v>
      </c>
      <c r="S200" s="325">
        <f t="shared" si="10"/>
        <v>0.34693877551020408</v>
      </c>
      <c r="T200" s="326">
        <f t="shared" si="11"/>
        <v>0.24637681159420291</v>
      </c>
    </row>
  </sheetData>
  <sheetProtection password="EBB1" sheet="1" formatColumns="0" formatRows="0" sort="0" autoFilter="0"/>
  <mergeCells count="36">
    <mergeCell ref="A43:B43"/>
    <mergeCell ref="C43:L43"/>
    <mergeCell ref="A44:B44"/>
    <mergeCell ref="C44:L44"/>
    <mergeCell ref="A40:B40"/>
    <mergeCell ref="C40:L40"/>
    <mergeCell ref="A41:B41"/>
    <mergeCell ref="C41:L41"/>
    <mergeCell ref="A42:B42"/>
    <mergeCell ref="C42:L42"/>
    <mergeCell ref="J35:L35"/>
    <mergeCell ref="A37:L37"/>
    <mergeCell ref="A38:B38"/>
    <mergeCell ref="C38:L38"/>
    <mergeCell ref="A39:B39"/>
    <mergeCell ref="C39:L39"/>
    <mergeCell ref="A29:L29"/>
    <mergeCell ref="J31:L31"/>
    <mergeCell ref="J32:L32"/>
    <mergeCell ref="J33:L33"/>
    <mergeCell ref="J34:L34"/>
    <mergeCell ref="C23:L23"/>
    <mergeCell ref="C24:L24"/>
    <mergeCell ref="C25:L25"/>
    <mergeCell ref="C26:L26"/>
    <mergeCell ref="C27:L27"/>
    <mergeCell ref="A17:L17"/>
    <mergeCell ref="A18:L18"/>
    <mergeCell ref="C20:L20"/>
    <mergeCell ref="C21:L21"/>
    <mergeCell ref="C22:L22"/>
    <mergeCell ref="A1:L1"/>
    <mergeCell ref="A2:L2"/>
    <mergeCell ref="A4:L4"/>
    <mergeCell ref="O4:S4"/>
    <mergeCell ref="A11:L11"/>
  </mergeCells>
  <pageMargins left="0.75" right="0.75" top="1" bottom="1" header="0.511811023622047" footer="0.511811023622047"/>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topLeftCell="A43" zoomScaleNormal="100" workbookViewId="0">
      <selection activeCell="H54" sqref="H54"/>
    </sheetView>
  </sheetViews>
  <sheetFormatPr defaultColWidth="8.7109375" defaultRowHeight="15" x14ac:dyDescent="0.25"/>
  <cols>
    <col min="1" max="1" width="16" style="15" customWidth="1"/>
    <col min="2" max="3" width="8" style="15" customWidth="1"/>
    <col min="4" max="5" width="12" style="15" customWidth="1"/>
    <col min="6" max="6" width="10" style="15" customWidth="1"/>
    <col min="7" max="7" width="9" style="15" customWidth="1"/>
    <col min="8" max="9" width="12" style="15" customWidth="1"/>
    <col min="10" max="10" width="26" style="15" customWidth="1"/>
  </cols>
  <sheetData>
    <row r="1" spans="1:10" ht="15.75" customHeight="1" x14ac:dyDescent="0.25">
      <c r="A1" s="3" t="s">
        <v>5117</v>
      </c>
      <c r="B1" s="3"/>
      <c r="C1" s="3"/>
      <c r="D1" s="3"/>
      <c r="E1" s="3"/>
      <c r="F1" s="3"/>
      <c r="G1" s="3"/>
      <c r="H1" s="3"/>
      <c r="I1" s="3"/>
      <c r="J1" s="3"/>
    </row>
    <row r="2" spans="1:10" ht="33.75" customHeight="1" x14ac:dyDescent="0.25">
      <c r="A2" s="13" t="s">
        <v>5118</v>
      </c>
      <c r="B2" s="13"/>
      <c r="C2" s="13"/>
      <c r="D2" s="13"/>
      <c r="E2" s="13"/>
      <c r="F2" s="13"/>
      <c r="G2" s="13"/>
      <c r="H2" s="13"/>
      <c r="I2" s="13"/>
      <c r="J2" s="13"/>
    </row>
    <row r="4" spans="1:10" ht="15" customHeight="1" x14ac:dyDescent="0.25">
      <c r="A4" s="357" t="s">
        <v>5119</v>
      </c>
      <c r="B4" s="357"/>
      <c r="C4" s="357"/>
      <c r="D4" s="357"/>
      <c r="E4" s="357"/>
      <c r="F4" s="357"/>
      <c r="G4" s="357"/>
      <c r="H4" s="357"/>
      <c r="I4" s="357"/>
      <c r="J4" s="357"/>
    </row>
    <row r="5" spans="1:10" ht="25.5" customHeight="1" x14ac:dyDescent="0.25">
      <c r="A5" s="11" t="s">
        <v>5120</v>
      </c>
      <c r="B5" s="11"/>
      <c r="C5" s="404" t="s">
        <v>5121</v>
      </c>
      <c r="D5" s="404"/>
      <c r="E5" s="404"/>
      <c r="F5" s="404"/>
      <c r="G5" s="404"/>
      <c r="H5" s="404"/>
      <c r="I5" s="404"/>
      <c r="J5" s="404"/>
    </row>
    <row r="6" spans="1:10" ht="25.5" customHeight="1" x14ac:dyDescent="0.25">
      <c r="A6" s="11" t="s">
        <v>5122</v>
      </c>
      <c r="B6" s="11"/>
      <c r="C6" s="404" t="s">
        <v>5123</v>
      </c>
      <c r="D6" s="404"/>
      <c r="E6" s="404"/>
      <c r="F6" s="404"/>
      <c r="G6" s="404"/>
      <c r="H6" s="404"/>
      <c r="I6" s="404"/>
      <c r="J6" s="404"/>
    </row>
    <row r="7" spans="1:10" ht="25.5" customHeight="1" x14ac:dyDescent="0.25">
      <c r="A7" s="11" t="s">
        <v>5124</v>
      </c>
      <c r="B7" s="11"/>
      <c r="C7" s="404" t="s">
        <v>5125</v>
      </c>
      <c r="D7" s="404"/>
      <c r="E7" s="404"/>
      <c r="F7" s="404"/>
      <c r="G7" s="404"/>
      <c r="H7" s="404"/>
      <c r="I7" s="404"/>
      <c r="J7" s="404"/>
    </row>
    <row r="8" spans="1:10" ht="25.5" customHeight="1" x14ac:dyDescent="0.25">
      <c r="A8" s="11" t="s">
        <v>5126</v>
      </c>
      <c r="B8" s="11"/>
      <c r="C8" s="404" t="s">
        <v>5127</v>
      </c>
      <c r="D8" s="404"/>
      <c r="E8" s="404"/>
      <c r="F8" s="404"/>
      <c r="G8" s="404"/>
      <c r="H8" s="404"/>
      <c r="I8" s="404"/>
      <c r="J8" s="404"/>
    </row>
    <row r="9" spans="1:10" ht="25.5" customHeight="1" x14ac:dyDescent="0.25">
      <c r="A9" s="11" t="s">
        <v>5128</v>
      </c>
      <c r="B9" s="11"/>
      <c r="C9" s="404" t="s">
        <v>5129</v>
      </c>
      <c r="D9" s="404"/>
      <c r="E9" s="404"/>
      <c r="F9" s="404"/>
      <c r="G9" s="404"/>
      <c r="H9" s="404"/>
      <c r="I9" s="404"/>
      <c r="J9" s="404"/>
    </row>
    <row r="10" spans="1:10" ht="25.5" customHeight="1" x14ac:dyDescent="0.25">
      <c r="A10" s="11" t="s">
        <v>5130</v>
      </c>
      <c r="B10" s="11"/>
      <c r="C10" s="404" t="s">
        <v>5131</v>
      </c>
      <c r="D10" s="404"/>
      <c r="E10" s="404"/>
      <c r="F10" s="404"/>
      <c r="G10" s="404"/>
      <c r="H10" s="404"/>
      <c r="I10" s="404"/>
      <c r="J10" s="404"/>
    </row>
    <row r="11" spans="1:10" ht="30" customHeight="1" x14ac:dyDescent="0.25">
      <c r="A11" s="405" t="s">
        <v>5132</v>
      </c>
      <c r="B11" s="405"/>
      <c r="C11" s="405" t="s">
        <v>5133</v>
      </c>
      <c r="D11" s="405"/>
      <c r="E11" s="405"/>
      <c r="F11" s="405"/>
      <c r="G11" s="405"/>
      <c r="H11" s="405"/>
      <c r="I11" s="405"/>
      <c r="J11" s="405"/>
    </row>
    <row r="13" spans="1:10" ht="15" customHeight="1" x14ac:dyDescent="0.25">
      <c r="A13" s="357" t="s">
        <v>5134</v>
      </c>
      <c r="B13" s="357"/>
      <c r="C13" s="357"/>
      <c r="D13" s="357"/>
      <c r="E13" s="357"/>
      <c r="F13" s="357"/>
      <c r="G13" s="357"/>
      <c r="H13" s="357"/>
      <c r="I13" s="357"/>
      <c r="J13" s="357"/>
    </row>
    <row r="14" spans="1:10" ht="33.75" customHeight="1" x14ac:dyDescent="0.25">
      <c r="A14" s="16" t="s">
        <v>5135</v>
      </c>
      <c r="B14" s="16" t="s">
        <v>5136</v>
      </c>
      <c r="C14" s="16" t="s">
        <v>5137</v>
      </c>
      <c r="D14" s="16" t="s">
        <v>5072</v>
      </c>
      <c r="E14" s="16" t="s">
        <v>5138</v>
      </c>
      <c r="F14" s="16" t="s">
        <v>5139</v>
      </c>
      <c r="G14" s="16" t="s">
        <v>4992</v>
      </c>
      <c r="H14" s="16"/>
      <c r="I14" s="16"/>
      <c r="J14" s="16"/>
    </row>
    <row r="15" spans="1:10" ht="18" customHeight="1" x14ac:dyDescent="0.25">
      <c r="A15" s="274" t="s">
        <v>5140</v>
      </c>
      <c r="B15" s="338">
        <v>1.6517999999999999</v>
      </c>
      <c r="C15" s="338">
        <v>0.1401</v>
      </c>
      <c r="D15" s="275">
        <v>11.79</v>
      </c>
      <c r="E15" s="339">
        <v>1.3342251230047101E-29</v>
      </c>
      <c r="F15" s="340" t="s">
        <v>5141</v>
      </c>
      <c r="G15" s="406" t="s">
        <v>5142</v>
      </c>
      <c r="H15" s="406"/>
      <c r="I15" s="406"/>
      <c r="J15" s="406"/>
    </row>
    <row r="16" spans="1:10" ht="18" customHeight="1" x14ac:dyDescent="0.25">
      <c r="A16" s="341" t="s">
        <v>219</v>
      </c>
      <c r="B16" s="342">
        <v>0.71160000000000001</v>
      </c>
      <c r="C16" s="342">
        <v>1.9900000000000001E-2</v>
      </c>
      <c r="D16" s="343">
        <v>35.700000000000003</v>
      </c>
      <c r="E16" s="344">
        <v>6.7584049834464496E-165</v>
      </c>
      <c r="F16" s="345" t="s">
        <v>5141</v>
      </c>
      <c r="G16" s="407" t="s">
        <v>5143</v>
      </c>
      <c r="H16" s="407"/>
      <c r="I16" s="407"/>
      <c r="J16" s="407"/>
    </row>
    <row r="17" spans="1:10" ht="18" customHeight="1" x14ac:dyDescent="0.25">
      <c r="A17" s="274" t="s">
        <v>5144</v>
      </c>
      <c r="B17" s="338">
        <v>-0.19589999999999999</v>
      </c>
      <c r="C17" s="338">
        <v>3.9800000000000002E-2</v>
      </c>
      <c r="D17" s="275">
        <v>-4.92</v>
      </c>
      <c r="E17" s="339">
        <v>1.0440921881102999E-6</v>
      </c>
      <c r="F17" s="340" t="s">
        <v>5141</v>
      </c>
      <c r="G17" s="406" t="s">
        <v>5145</v>
      </c>
      <c r="H17" s="406"/>
      <c r="I17" s="406"/>
      <c r="J17" s="406"/>
    </row>
    <row r="18" spans="1:10" ht="18" customHeight="1" x14ac:dyDescent="0.25">
      <c r="A18" s="341" t="s">
        <v>5146</v>
      </c>
      <c r="B18" s="342">
        <v>-0.36840000000000001</v>
      </c>
      <c r="C18" s="342">
        <v>3.8399999999999997E-2</v>
      </c>
      <c r="D18" s="343">
        <v>-9.6</v>
      </c>
      <c r="E18" s="344">
        <v>1.14725512301689E-20</v>
      </c>
      <c r="F18" s="345" t="s">
        <v>5141</v>
      </c>
      <c r="G18" s="407" t="s">
        <v>5145</v>
      </c>
      <c r="H18" s="407"/>
      <c r="I18" s="407"/>
      <c r="J18" s="407"/>
    </row>
    <row r="19" spans="1:10" ht="18" customHeight="1" x14ac:dyDescent="0.25">
      <c r="A19" s="274" t="s">
        <v>5147</v>
      </c>
      <c r="B19" s="338">
        <v>-0.44319999999999998</v>
      </c>
      <c r="C19" s="338">
        <v>4.0599999999999997E-2</v>
      </c>
      <c r="D19" s="275">
        <v>-10.91</v>
      </c>
      <c r="E19" s="339">
        <v>7.3229101214904104E-26</v>
      </c>
      <c r="F19" s="340" t="s">
        <v>5141</v>
      </c>
      <c r="G19" s="406" t="s">
        <v>5145</v>
      </c>
      <c r="H19" s="406"/>
      <c r="I19" s="406"/>
      <c r="J19" s="406"/>
    </row>
    <row r="20" spans="1:10" ht="18" customHeight="1" x14ac:dyDescent="0.25">
      <c r="A20" s="341" t="s">
        <v>5148</v>
      </c>
      <c r="B20" s="342">
        <v>-0.35820000000000002</v>
      </c>
      <c r="C20" s="342">
        <v>2.9499999999999998E-2</v>
      </c>
      <c r="D20" s="343">
        <v>-12.13</v>
      </c>
      <c r="E20" s="344">
        <v>4.2606448787147597E-31</v>
      </c>
      <c r="F20" s="345" t="s">
        <v>5141</v>
      </c>
      <c r="G20" s="407" t="s">
        <v>5149</v>
      </c>
      <c r="H20" s="407"/>
      <c r="I20" s="407"/>
      <c r="J20" s="407"/>
    </row>
    <row r="21" spans="1:10" ht="18" customHeight="1" x14ac:dyDescent="0.25">
      <c r="A21" s="274" t="s">
        <v>5150</v>
      </c>
      <c r="B21" s="338">
        <v>-0.69699999999999995</v>
      </c>
      <c r="C21" s="338">
        <v>2.9499999999999998E-2</v>
      </c>
      <c r="D21" s="275">
        <v>-23.61</v>
      </c>
      <c r="E21" s="339">
        <v>6.2893783840749301E-93</v>
      </c>
      <c r="F21" s="340" t="s">
        <v>5141</v>
      </c>
      <c r="G21" s="406" t="s">
        <v>5149</v>
      </c>
      <c r="H21" s="406"/>
      <c r="I21" s="406"/>
      <c r="J21" s="406"/>
    </row>
    <row r="22" spans="1:10" ht="18" customHeight="1" x14ac:dyDescent="0.25">
      <c r="A22" s="341" t="s">
        <v>5151</v>
      </c>
      <c r="B22" s="342">
        <v>-1.4597</v>
      </c>
      <c r="C22" s="342">
        <v>2.9499999999999998E-2</v>
      </c>
      <c r="D22" s="343">
        <v>-49.44</v>
      </c>
      <c r="E22" s="344">
        <v>4.2225244415882201E-240</v>
      </c>
      <c r="F22" s="345" t="s">
        <v>5141</v>
      </c>
      <c r="G22" s="407" t="s">
        <v>5149</v>
      </c>
      <c r="H22" s="407"/>
      <c r="I22" s="407"/>
      <c r="J22" s="407"/>
    </row>
    <row r="23" spans="1:10" ht="18" customHeight="1" x14ac:dyDescent="0.25">
      <c r="A23" s="274" t="s">
        <v>5152</v>
      </c>
      <c r="B23" s="338">
        <v>-7.9899999999999999E-2</v>
      </c>
      <c r="C23" s="338">
        <v>4.7600000000000003E-2</v>
      </c>
      <c r="D23" s="275">
        <v>-1.68</v>
      </c>
      <c r="E23" s="339">
        <v>9.3471261652756502E-2</v>
      </c>
      <c r="F23" s="346" t="s">
        <v>5153</v>
      </c>
      <c r="G23" s="406" t="s">
        <v>5154</v>
      </c>
      <c r="H23" s="406"/>
      <c r="I23" s="406"/>
      <c r="J23" s="406"/>
    </row>
    <row r="24" spans="1:10" ht="18" customHeight="1" x14ac:dyDescent="0.25">
      <c r="A24" s="341" t="s">
        <v>5155</v>
      </c>
      <c r="B24" s="342">
        <v>-0.17199999999999999</v>
      </c>
      <c r="C24" s="342">
        <v>4.7600000000000003E-2</v>
      </c>
      <c r="D24" s="343">
        <v>-3.62</v>
      </c>
      <c r="E24" s="344">
        <v>3.1805048433744998E-4</v>
      </c>
      <c r="F24" s="345" t="s">
        <v>5141</v>
      </c>
      <c r="G24" s="407" t="s">
        <v>5154</v>
      </c>
      <c r="H24" s="407"/>
      <c r="I24" s="407"/>
      <c r="J24" s="407"/>
    </row>
    <row r="25" spans="1:10" ht="18" customHeight="1" x14ac:dyDescent="0.25">
      <c r="A25" s="274" t="s">
        <v>5156</v>
      </c>
      <c r="B25" s="338">
        <v>-0.4284</v>
      </c>
      <c r="C25" s="338">
        <v>4.7600000000000003E-2</v>
      </c>
      <c r="D25" s="275">
        <v>-9.01</v>
      </c>
      <c r="E25" s="339">
        <v>1.68105662021648E-18</v>
      </c>
      <c r="F25" s="340" t="s">
        <v>5141</v>
      </c>
      <c r="G25" s="406" t="s">
        <v>5154</v>
      </c>
      <c r="H25" s="406"/>
      <c r="I25" s="406"/>
      <c r="J25" s="406"/>
    </row>
    <row r="26" spans="1:10" ht="18" customHeight="1" x14ac:dyDescent="0.25">
      <c r="A26" s="341" t="s">
        <v>5157</v>
      </c>
      <c r="B26" s="342">
        <v>-0.44180000000000003</v>
      </c>
      <c r="C26" s="342">
        <v>4.5999999999999999E-2</v>
      </c>
      <c r="D26" s="343">
        <v>-9.61</v>
      </c>
      <c r="E26" s="344">
        <v>1.04565598150432E-20</v>
      </c>
      <c r="F26" s="345" t="s">
        <v>5141</v>
      </c>
      <c r="G26" s="407" t="s">
        <v>5154</v>
      </c>
      <c r="H26" s="407"/>
      <c r="I26" s="407"/>
      <c r="J26" s="407"/>
    </row>
    <row r="27" spans="1:10" ht="18" customHeight="1" x14ac:dyDescent="0.25">
      <c r="A27" s="274" t="s">
        <v>5158</v>
      </c>
      <c r="B27" s="338">
        <v>-0.77959999999999996</v>
      </c>
      <c r="C27" s="338">
        <v>4.5999999999999999E-2</v>
      </c>
      <c r="D27" s="275">
        <v>-16.95</v>
      </c>
      <c r="E27" s="339">
        <v>5.9777940831414601E-55</v>
      </c>
      <c r="F27" s="340" t="s">
        <v>5141</v>
      </c>
      <c r="G27" s="406" t="s">
        <v>5154</v>
      </c>
      <c r="H27" s="406"/>
      <c r="I27" s="406"/>
      <c r="J27" s="406"/>
    </row>
    <row r="28" spans="1:10" ht="18" customHeight="1" x14ac:dyDescent="0.25">
      <c r="A28" s="341" t="s">
        <v>5159</v>
      </c>
      <c r="B28" s="342">
        <v>-1.6274999999999999</v>
      </c>
      <c r="C28" s="342">
        <v>4.5999999999999999E-2</v>
      </c>
      <c r="D28" s="343">
        <v>-35.39</v>
      </c>
      <c r="E28" s="344">
        <v>4.10319284392854E-163</v>
      </c>
      <c r="F28" s="345" t="s">
        <v>5141</v>
      </c>
      <c r="G28" s="407" t="s">
        <v>5154</v>
      </c>
      <c r="H28" s="407"/>
      <c r="I28" s="407"/>
      <c r="J28" s="407"/>
    </row>
    <row r="29" spans="1:10" ht="18" customHeight="1" x14ac:dyDescent="0.25">
      <c r="A29" s="274" t="s">
        <v>5160</v>
      </c>
      <c r="B29" s="338">
        <v>-0.40589999999999998</v>
      </c>
      <c r="C29" s="338">
        <v>4.87E-2</v>
      </c>
      <c r="D29" s="275">
        <v>-8.34</v>
      </c>
      <c r="E29" s="339">
        <v>3.5049366660441699E-16</v>
      </c>
      <c r="F29" s="340" t="s">
        <v>5141</v>
      </c>
      <c r="G29" s="406" t="s">
        <v>5154</v>
      </c>
      <c r="H29" s="406"/>
      <c r="I29" s="406"/>
      <c r="J29" s="406"/>
    </row>
    <row r="30" spans="1:10" ht="18" customHeight="1" x14ac:dyDescent="0.25">
      <c r="A30" s="341" t="s">
        <v>5161</v>
      </c>
      <c r="B30" s="342">
        <v>-0.80300000000000005</v>
      </c>
      <c r="C30" s="342">
        <v>4.87E-2</v>
      </c>
      <c r="D30" s="343">
        <v>-16.5</v>
      </c>
      <c r="E30" s="344">
        <v>1.6389264977109301E-52</v>
      </c>
      <c r="F30" s="345" t="s">
        <v>5141</v>
      </c>
      <c r="G30" s="407" t="s">
        <v>5154</v>
      </c>
      <c r="H30" s="407"/>
      <c r="I30" s="407"/>
      <c r="J30" s="407"/>
    </row>
    <row r="31" spans="1:10" ht="18" customHeight="1" x14ac:dyDescent="0.25">
      <c r="A31" s="274" t="s">
        <v>5162</v>
      </c>
      <c r="B31" s="338">
        <v>-1.7659</v>
      </c>
      <c r="C31" s="338">
        <v>4.87E-2</v>
      </c>
      <c r="D31" s="275">
        <v>-36.28</v>
      </c>
      <c r="E31" s="339">
        <v>2.9808406995327499E-168</v>
      </c>
      <c r="F31" s="340" t="s">
        <v>5141</v>
      </c>
      <c r="G31" s="406" t="s">
        <v>5154</v>
      </c>
      <c r="H31" s="406"/>
      <c r="I31" s="406"/>
      <c r="J31" s="406"/>
    </row>
    <row r="33" spans="1:10" ht="15" customHeight="1" x14ac:dyDescent="0.25">
      <c r="A33" s="357" t="s">
        <v>5163</v>
      </c>
      <c r="B33" s="357"/>
      <c r="C33" s="357"/>
      <c r="D33" s="357"/>
      <c r="E33" s="357"/>
      <c r="F33" s="357"/>
      <c r="G33" s="357"/>
      <c r="H33" s="357"/>
      <c r="I33" s="357"/>
      <c r="J33" s="357"/>
    </row>
    <row r="34" spans="1:10" ht="33.75" customHeight="1" x14ac:dyDescent="0.25">
      <c r="A34" s="16" t="s">
        <v>5065</v>
      </c>
      <c r="B34" s="16" t="s">
        <v>5164</v>
      </c>
      <c r="C34" s="16" t="s">
        <v>5137</v>
      </c>
      <c r="D34" s="16" t="s">
        <v>5050</v>
      </c>
      <c r="E34" s="16" t="s">
        <v>5051</v>
      </c>
      <c r="F34" s="16" t="s">
        <v>5072</v>
      </c>
      <c r="G34" s="16" t="s">
        <v>5165</v>
      </c>
      <c r="H34" s="16" t="s">
        <v>5166</v>
      </c>
      <c r="I34" s="16" t="s">
        <v>5167</v>
      </c>
      <c r="J34" s="16" t="s">
        <v>5075</v>
      </c>
    </row>
    <row r="35" spans="1:10" ht="19.5" customHeight="1" x14ac:dyDescent="0.25">
      <c r="A35" s="69" t="s">
        <v>5168</v>
      </c>
      <c r="B35" s="93">
        <v>-0.62429999999999997</v>
      </c>
      <c r="C35" s="338">
        <v>3.9800000000000002E-2</v>
      </c>
      <c r="D35" s="76">
        <v>-0.70240000000000002</v>
      </c>
      <c r="E35" s="76">
        <v>-0.54620000000000002</v>
      </c>
      <c r="F35" s="275">
        <v>-15.69</v>
      </c>
      <c r="G35" s="339">
        <v>2.7384351417017899E-48</v>
      </c>
      <c r="H35" s="347">
        <v>2.7384351417017899E-48</v>
      </c>
      <c r="I35" s="339">
        <v>8.2153054251053698E-48</v>
      </c>
      <c r="J35" s="348" t="s">
        <v>5169</v>
      </c>
    </row>
    <row r="36" spans="1:10" ht="19.5" customHeight="1" x14ac:dyDescent="0.25">
      <c r="A36" s="69" t="s">
        <v>5170</v>
      </c>
      <c r="B36" s="93">
        <v>-1.9959</v>
      </c>
      <c r="C36" s="338">
        <v>3.8399999999999997E-2</v>
      </c>
      <c r="D36" s="76">
        <v>-2.0712999999999999</v>
      </c>
      <c r="E36" s="76">
        <v>-1.9206000000000001</v>
      </c>
      <c r="F36" s="275">
        <v>-51.99</v>
      </c>
      <c r="G36" s="339">
        <v>5.4057368176963003E-253</v>
      </c>
      <c r="H36" s="347">
        <v>1.0811473635392601E-252</v>
      </c>
      <c r="I36" s="339">
        <v>1.6217210453088899E-252</v>
      </c>
      <c r="J36" s="348" t="s">
        <v>5169</v>
      </c>
    </row>
    <row r="37" spans="1:10" ht="19.5" customHeight="1" x14ac:dyDescent="0.25">
      <c r="A37" s="69" t="s">
        <v>5171</v>
      </c>
      <c r="B37" s="93">
        <v>-2.2092000000000001</v>
      </c>
      <c r="C37" s="338">
        <v>4.0599999999999997E-2</v>
      </c>
      <c r="D37" s="76">
        <v>-2.2888999999999999</v>
      </c>
      <c r="E37" s="76">
        <v>-2.1294</v>
      </c>
      <c r="F37" s="275">
        <v>-54.39</v>
      </c>
      <c r="G37" s="339">
        <v>9.6868465471551304E-265</v>
      </c>
      <c r="H37" s="347">
        <v>2.90605396414654E-264</v>
      </c>
      <c r="I37" s="339">
        <v>2.90605396414654E-264</v>
      </c>
      <c r="J37" s="348" t="s">
        <v>5169</v>
      </c>
    </row>
    <row r="38" spans="1:10" ht="15" customHeight="1" x14ac:dyDescent="0.25">
      <c r="A38" s="363" t="s">
        <v>5172</v>
      </c>
      <c r="B38" s="363"/>
      <c r="C38" s="363"/>
      <c r="D38" s="363"/>
      <c r="E38" s="363"/>
      <c r="F38" s="363"/>
      <c r="G38" s="363"/>
      <c r="H38" s="363"/>
      <c r="I38" s="363"/>
      <c r="J38" s="363"/>
    </row>
    <row r="40" spans="1:10" ht="15" customHeight="1" x14ac:dyDescent="0.25">
      <c r="A40" s="357" t="s">
        <v>5173</v>
      </c>
      <c r="B40" s="357"/>
      <c r="C40" s="357"/>
      <c r="D40" s="357"/>
      <c r="E40" s="357"/>
      <c r="F40" s="357"/>
      <c r="G40" s="357"/>
      <c r="H40" s="357"/>
      <c r="I40" s="357"/>
      <c r="J40" s="357"/>
    </row>
    <row r="41" spans="1:10" ht="33.75" customHeight="1" x14ac:dyDescent="0.25">
      <c r="A41" s="16" t="s">
        <v>5065</v>
      </c>
      <c r="B41" s="16" t="s">
        <v>5174</v>
      </c>
      <c r="C41" s="16" t="s">
        <v>5175</v>
      </c>
      <c r="D41" s="16" t="s">
        <v>5176</v>
      </c>
      <c r="E41" s="16" t="s">
        <v>5069</v>
      </c>
      <c r="F41" s="16" t="s">
        <v>5072</v>
      </c>
      <c r="G41" s="16" t="s">
        <v>5073</v>
      </c>
      <c r="H41" s="16" t="s">
        <v>5165</v>
      </c>
      <c r="I41" s="16" t="s">
        <v>5166</v>
      </c>
      <c r="J41" s="16" t="s">
        <v>7</v>
      </c>
    </row>
    <row r="42" spans="1:10" ht="27.75" customHeight="1" x14ac:dyDescent="0.25">
      <c r="A42" s="69" t="s">
        <v>5168</v>
      </c>
      <c r="B42" s="270">
        <f>SUMPRODUCT(('2024_2026'!$B$2:$B$976="L1")*('2024_2026'!$F$2:$F$976=21))</f>
        <v>42</v>
      </c>
      <c r="C42" s="270">
        <f>SUMPRODUCT(('2024_2026'!$B$2:$B$976="S")*('2024_2026'!$F$2:$F$976=21))</f>
        <v>67</v>
      </c>
      <c r="D42" s="279">
        <f>AVERAGEIFS('2024_2026'!$G$2:$G$976,'2024_2026'!$B$2:$B$976,"L1",'2024_2026'!$F$2:$F$976,21)-AVERAGEIFS('2024_2026'!$G$2:$G$976,'2024_2026'!$B$2:$B$976,"S",'2024_2026'!$F$2:$F$976,21)</f>
        <v>-0.72683013503909155</v>
      </c>
      <c r="E42" s="349">
        <f>SQRT((($B42-1)*(SUMPRODUCT(('2024_2026'!$B$2:$B$976="L1")*('2024_2026'!$F$2:$F$976=21)*('2024_2026'!$G$2:$G$976-AVERAGEIFS('2024_2026'!$G$2:$G$976,'2024_2026'!$B$2:$B$976,"L1",'2024_2026'!$F$2:$F$976,21))^2)/($B42-1))+($C42-1)*(SUMPRODUCT(('2024_2026'!$B$2:$B$976="S")*('2024_2026'!$F$2:$F$976=21)*('2024_2026'!$G$2:$G$976-AVERAGEIFS('2024_2026'!$G$2:$G$976,'2024_2026'!$B$2:$B$976,"S",'2024_2026'!$F$2:$F$976,21))^2)/($C42-1)))/($B42+$C42-2))</f>
        <v>0.35689630743518741</v>
      </c>
      <c r="F42" s="350">
        <f>$D42/($E42*SQRT(1/$B42+1/$C42))</f>
        <v>-10.347600859106308</v>
      </c>
      <c r="G42" s="270">
        <f>$B42+$C42-2</f>
        <v>107</v>
      </c>
      <c r="H42" s="351">
        <f>TDIST(ABS($F42),$G42,2)</f>
        <v>8.3131626779624662E-18</v>
      </c>
      <c r="I42" s="352">
        <f>MIN(1,MAX(IF($H42=SMALL($H$42:$H$44,1),3*$H42,IF($H42=SMALL($H$42:$H$44,2),2*$H42,$H42)),3*SMALL($H$42:$H$44,1)))</f>
        <v>8.3131626779624662E-18</v>
      </c>
      <c r="J42" s="77" t="s">
        <v>5177</v>
      </c>
    </row>
    <row r="43" spans="1:10" ht="27.75" customHeight="1" x14ac:dyDescent="0.25">
      <c r="A43" s="69" t="s">
        <v>5170</v>
      </c>
      <c r="B43" s="270">
        <f>SUMPRODUCT(('2024_2026'!$B$2:$B$976="L2")*('2024_2026'!$F$2:$F$976=21))</f>
        <v>47</v>
      </c>
      <c r="C43" s="270">
        <f>SUMPRODUCT(('2024_2026'!$B$2:$B$976="S")*('2024_2026'!$F$2:$F$976=21))</f>
        <v>67</v>
      </c>
      <c r="D43" s="279">
        <f>AVERAGEIFS('2024_2026'!$G$2:$G$976,'2024_2026'!$B$2:$B$976,"L2",'2024_2026'!$F$2:$F$976,21)-AVERAGEIFS('2024_2026'!$G$2:$G$976,'2024_2026'!$B$2:$B$976,"S",'2024_2026'!$F$2:$F$976,21)</f>
        <v>-2.0404572880279455</v>
      </c>
      <c r="E43" s="349">
        <f>SQRT((($B43-1)*(SUMPRODUCT(('2024_2026'!$B$2:$B$976="L2")*('2024_2026'!$F$2:$F$976=21)*('2024_2026'!$G$2:$G$976-AVERAGEIFS('2024_2026'!$G$2:$G$976,'2024_2026'!$B$2:$B$976,"L2",'2024_2026'!$F$2:$F$976,21))^2)/($B43-1))+($C43-1)*(SUMPRODUCT(('2024_2026'!$B$2:$B$976="S")*('2024_2026'!$F$2:$F$976=21)*('2024_2026'!$G$2:$G$976-AVERAGEIFS('2024_2026'!$G$2:$G$976,'2024_2026'!$B$2:$B$976,"S",'2024_2026'!$F$2:$F$976,21))^2)/($C43-1)))/($B43+$C43-2))</f>
        <v>0.34166656062852585</v>
      </c>
      <c r="F43" s="350">
        <f>$D43/($E43*SQRT(1/$B43+1/$C43))</f>
        <v>-31.38765982043261</v>
      </c>
      <c r="G43" s="270">
        <f>$B43+$C43-2</f>
        <v>112</v>
      </c>
      <c r="H43" s="351">
        <f>TDIST(ABS($F43),$G43,2)</f>
        <v>2.5109813050051399E-57</v>
      </c>
      <c r="I43" s="352">
        <f>MIN(1,MAX(IF($H43=SMALL($H$42:$H$44,1),3*$H43,IF($H43=SMALL($H$42:$H$44,2),2*$H43,$H43)),3*SMALL($H$42:$H$44,1)))</f>
        <v>7.5329439150154201E-57</v>
      </c>
      <c r="J43" s="77" t="s">
        <v>5177</v>
      </c>
    </row>
    <row r="44" spans="1:10" ht="27.75" customHeight="1" x14ac:dyDescent="0.25">
      <c r="A44" s="69" t="s">
        <v>5171</v>
      </c>
      <c r="B44" s="270">
        <f>SUMPRODUCT(('2024_2026'!$B$2:$B$976="L3")*('2024_2026'!$F$2:$F$976=21))</f>
        <v>39</v>
      </c>
      <c r="C44" s="270">
        <f>SUMPRODUCT(('2024_2026'!$B$2:$B$976="S")*('2024_2026'!$F$2:$F$976=21))</f>
        <v>67</v>
      </c>
      <c r="D44" s="279">
        <f>AVERAGEIFS('2024_2026'!$G$2:$G$976,'2024_2026'!$B$2:$B$976,"L3",'2024_2026'!$F$2:$F$976,21)-AVERAGEIFS('2024_2026'!$G$2:$G$976,'2024_2026'!$B$2:$B$976,"S",'2024_2026'!$F$2:$F$976,21)</f>
        <v>-2.232874091083048</v>
      </c>
      <c r="E44" s="349">
        <f>SQRT((($B44-1)*(SUMPRODUCT(('2024_2026'!$B$2:$B$976="L3")*('2024_2026'!$F$2:$F$976=21)*('2024_2026'!$G$2:$G$976-AVERAGEIFS('2024_2026'!$G$2:$G$976,'2024_2026'!$B$2:$B$976,"L3",'2024_2026'!$F$2:$F$976,21))^2)/($B44-1))+($C44-1)*(SUMPRODUCT(('2024_2026'!$B$2:$B$976="S")*('2024_2026'!$F$2:$F$976=21)*('2024_2026'!$G$2:$G$976-AVERAGEIFS('2024_2026'!$G$2:$G$976,'2024_2026'!$B$2:$B$976,"S",'2024_2026'!$F$2:$F$976,21))^2)/($C44-1)))/($B44+$C44-2))</f>
        <v>0.35113155714913546</v>
      </c>
      <c r="F44" s="350">
        <f>$D44/($E44*SQRT(1/$B44+1/$C44))</f>
        <v>-31.572657924072832</v>
      </c>
      <c r="G44" s="270">
        <f>$B44+$C44-2</f>
        <v>104</v>
      </c>
      <c r="H44" s="351">
        <f>TDIST(ABS($F44),$G44,2)</f>
        <v>4.2631131028767516E-55</v>
      </c>
      <c r="I44" s="352">
        <f>MIN(1,MAX(IF($H44=SMALL($H$42:$H$44,1),3*$H44,IF($H44=SMALL($H$42:$H$44,2),2*$H44,$H44)),3*SMALL($H$42:$H$44,1)))</f>
        <v>8.5262262057535031E-55</v>
      </c>
      <c r="J44" s="77" t="s">
        <v>5177</v>
      </c>
    </row>
    <row r="46" spans="1:10" ht="15" customHeight="1" x14ac:dyDescent="0.25">
      <c r="A46" s="357" t="s">
        <v>5178</v>
      </c>
      <c r="B46" s="357"/>
      <c r="C46" s="357"/>
      <c r="D46" s="357"/>
      <c r="E46" s="357"/>
      <c r="F46" s="357"/>
      <c r="G46" s="357"/>
      <c r="H46" s="357"/>
      <c r="I46" s="357"/>
      <c r="J46" s="357"/>
    </row>
    <row r="47" spans="1:10" ht="55.5" customHeight="1" x14ac:dyDescent="0.25">
      <c r="A47" s="387" t="s">
        <v>5179</v>
      </c>
      <c r="B47" s="387"/>
      <c r="C47" s="388" t="s">
        <v>5180</v>
      </c>
      <c r="D47" s="388"/>
      <c r="E47" s="388"/>
      <c r="F47" s="388"/>
      <c r="G47" s="388"/>
      <c r="H47" s="388"/>
      <c r="I47" s="388"/>
      <c r="J47" s="388"/>
    </row>
    <row r="48" spans="1:10" ht="55.5" customHeight="1" x14ac:dyDescent="0.25">
      <c r="A48" s="360" t="s">
        <v>5181</v>
      </c>
      <c r="B48" s="360"/>
      <c r="C48" s="361" t="s">
        <v>5182</v>
      </c>
      <c r="D48" s="361"/>
      <c r="E48" s="361"/>
      <c r="F48" s="361"/>
      <c r="G48" s="361"/>
      <c r="H48" s="361"/>
      <c r="I48" s="361"/>
      <c r="J48" s="361"/>
    </row>
    <row r="49" spans="1:10" ht="55.5" customHeight="1" x14ac:dyDescent="0.25">
      <c r="A49" s="360" t="s">
        <v>5183</v>
      </c>
      <c r="B49" s="360"/>
      <c r="C49" s="361" t="s">
        <v>5184</v>
      </c>
      <c r="D49" s="361"/>
      <c r="E49" s="361"/>
      <c r="F49" s="361"/>
      <c r="G49" s="361"/>
      <c r="H49" s="361"/>
      <c r="I49" s="361"/>
      <c r="J49" s="361"/>
    </row>
    <row r="50" spans="1:10" ht="55.5" customHeight="1" x14ac:dyDescent="0.25">
      <c r="A50" s="360" t="s">
        <v>5185</v>
      </c>
      <c r="B50" s="360"/>
      <c r="C50" s="361" t="s">
        <v>5186</v>
      </c>
      <c r="D50" s="361"/>
      <c r="E50" s="361"/>
      <c r="F50" s="361"/>
      <c r="G50" s="361"/>
      <c r="H50" s="361"/>
      <c r="I50" s="361"/>
      <c r="J50" s="361"/>
    </row>
    <row r="51" spans="1:10" ht="55.5" customHeight="1" x14ac:dyDescent="0.25">
      <c r="A51" s="387" t="s">
        <v>5187</v>
      </c>
      <c r="B51" s="387"/>
      <c r="C51" s="388" t="s">
        <v>5188</v>
      </c>
      <c r="D51" s="388"/>
      <c r="E51" s="388"/>
      <c r="F51" s="388"/>
      <c r="G51" s="388"/>
      <c r="H51" s="388"/>
      <c r="I51" s="388"/>
      <c r="J51" s="388"/>
    </row>
    <row r="52" spans="1:10" ht="55.5" customHeight="1" x14ac:dyDescent="0.25">
      <c r="A52" s="360" t="s">
        <v>5189</v>
      </c>
      <c r="B52" s="360"/>
      <c r="C52" s="361" t="s">
        <v>5190</v>
      </c>
      <c r="D52" s="361"/>
      <c r="E52" s="361"/>
      <c r="F52" s="361"/>
      <c r="G52" s="361"/>
      <c r="H52" s="361"/>
      <c r="I52" s="361"/>
      <c r="J52" s="361"/>
    </row>
  </sheetData>
  <sheetProtection password="EBB1" sheet="1" formatColumns="0" formatRows="0" sort="0" autoFilter="0"/>
  <mergeCells count="51">
    <mergeCell ref="A52:B52"/>
    <mergeCell ref="C52:J52"/>
    <mergeCell ref="A49:B49"/>
    <mergeCell ref="C49:J49"/>
    <mergeCell ref="A50:B50"/>
    <mergeCell ref="C50:J50"/>
    <mergeCell ref="A51:B51"/>
    <mergeCell ref="C51:J51"/>
    <mergeCell ref="A40:J40"/>
    <mergeCell ref="A46:J46"/>
    <mergeCell ref="A47:B47"/>
    <mergeCell ref="C47:J47"/>
    <mergeCell ref="A48:B48"/>
    <mergeCell ref="C48:J48"/>
    <mergeCell ref="G29:J29"/>
    <mergeCell ref="G30:J30"/>
    <mergeCell ref="G31:J31"/>
    <mergeCell ref="A33:J33"/>
    <mergeCell ref="A38:J38"/>
    <mergeCell ref="G24:J24"/>
    <mergeCell ref="G25:J25"/>
    <mergeCell ref="G26:J26"/>
    <mergeCell ref="G27:J27"/>
    <mergeCell ref="G28:J28"/>
    <mergeCell ref="G19:J19"/>
    <mergeCell ref="G20:J20"/>
    <mergeCell ref="G21:J21"/>
    <mergeCell ref="G22:J22"/>
    <mergeCell ref="G23:J23"/>
    <mergeCell ref="A13:J13"/>
    <mergeCell ref="G15:J15"/>
    <mergeCell ref="G16:J16"/>
    <mergeCell ref="G17:J17"/>
    <mergeCell ref="G18:J18"/>
    <mergeCell ref="A9:B9"/>
    <mergeCell ref="C9:J9"/>
    <mergeCell ref="A10:B10"/>
    <mergeCell ref="C10:J10"/>
    <mergeCell ref="A11:B11"/>
    <mergeCell ref="C11:J11"/>
    <mergeCell ref="A6:B6"/>
    <mergeCell ref="C6:J6"/>
    <mergeCell ref="A7:B7"/>
    <mergeCell ref="C7:J7"/>
    <mergeCell ref="A8:B8"/>
    <mergeCell ref="C8:J8"/>
    <mergeCell ref="A1:J1"/>
    <mergeCell ref="A2:J2"/>
    <mergeCell ref="A4:J4"/>
    <mergeCell ref="A5:B5"/>
    <mergeCell ref="C5:J5"/>
  </mergeCells>
  <pageMargins left="0.75" right="0.75" top="1" bottom="1" header="0.511811023622047" footer="0.511811023622047"/>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topLeftCell="A7" zoomScaleNormal="100" workbookViewId="0">
      <selection sqref="A1:H1"/>
    </sheetView>
  </sheetViews>
  <sheetFormatPr defaultColWidth="8.7109375" defaultRowHeight="15" x14ac:dyDescent="0.25"/>
  <cols>
    <col min="1" max="6" width="12" style="15" customWidth="1"/>
  </cols>
  <sheetData>
    <row r="1" spans="1:8" ht="15.75" customHeight="1" x14ac:dyDescent="0.25">
      <c r="A1" s="3" t="s">
        <v>5191</v>
      </c>
      <c r="B1" s="3"/>
      <c r="C1" s="3"/>
      <c r="D1" s="3"/>
      <c r="E1" s="3"/>
      <c r="F1" s="3"/>
      <c r="G1" s="3"/>
      <c r="H1" s="3"/>
    </row>
    <row r="2" spans="1:8" ht="33.75" customHeight="1" x14ac:dyDescent="0.25">
      <c r="A2" s="13" t="s">
        <v>5192</v>
      </c>
      <c r="B2" s="13"/>
      <c r="C2" s="13"/>
      <c r="D2" s="13"/>
      <c r="E2" s="13"/>
      <c r="F2" s="13"/>
      <c r="G2" s="13"/>
      <c r="H2" s="13"/>
    </row>
    <row r="4" spans="1:8" ht="15" customHeight="1" x14ac:dyDescent="0.25">
      <c r="A4" s="408" t="s">
        <v>5193</v>
      </c>
      <c r="B4" s="408"/>
      <c r="C4" s="408"/>
      <c r="D4" s="408"/>
      <c r="E4" s="408"/>
      <c r="F4" s="408"/>
      <c r="G4" s="408"/>
      <c r="H4" s="408"/>
    </row>
    <row r="5" spans="1:8" ht="30" customHeight="1" x14ac:dyDescent="0.25">
      <c r="A5" s="16" t="s">
        <v>4931</v>
      </c>
      <c r="B5" s="16" t="s">
        <v>4945</v>
      </c>
      <c r="C5" s="16" t="s">
        <v>4946</v>
      </c>
      <c r="D5" s="16" t="s">
        <v>4947</v>
      </c>
      <c r="E5" s="16" t="s">
        <v>4948</v>
      </c>
      <c r="F5" s="16" t="s">
        <v>4949</v>
      </c>
    </row>
    <row r="6" spans="1:8" ht="15" customHeight="1" x14ac:dyDescent="0.25">
      <c r="A6" s="69" t="s">
        <v>923</v>
      </c>
      <c r="B6" s="272">
        <f>F_Статистика_когорти!C14</f>
        <v>6.7738095238095237</v>
      </c>
      <c r="C6" s="272">
        <f>F_Статистика_когорти!D14</f>
        <v>6.2761904761904779</v>
      </c>
      <c r="D6" s="272">
        <f>F_Статистика_когорти!E14</f>
        <v>5.8380952380952387</v>
      </c>
      <c r="E6" s="272">
        <f>F_Статистика_когорти!F14</f>
        <v>5.4071428571428566</v>
      </c>
      <c r="F6" s="272">
        <f>F_Статистика_когорти!G14</f>
        <v>4.3880952380952376</v>
      </c>
    </row>
    <row r="7" spans="1:8" ht="15" customHeight="1" x14ac:dyDescent="0.25">
      <c r="A7" s="69" t="s">
        <v>924</v>
      </c>
      <c r="B7" s="272">
        <f>F_Статистика_когорти!C15</f>
        <v>6.8553191489361724</v>
      </c>
      <c r="C7" s="272">
        <f>F_Статистика_когорти!D15</f>
        <v>6.1617021276595763</v>
      </c>
      <c r="D7" s="272">
        <f>F_Статистика_когорти!E15</f>
        <v>5.3617021276595729</v>
      </c>
      <c r="E7" s="272">
        <f>F_Статистика_когорти!F15</f>
        <v>4.6851063829787227</v>
      </c>
      <c r="F7" s="272">
        <f>F_Статистика_когорти!G15</f>
        <v>3.0744680851063837</v>
      </c>
    </row>
    <row r="8" spans="1:8" ht="15" customHeight="1" x14ac:dyDescent="0.25">
      <c r="A8" s="69" t="s">
        <v>925</v>
      </c>
      <c r="B8" s="272">
        <f>F_Статистика_когорти!C16</f>
        <v>6.884615384615385</v>
      </c>
      <c r="C8" s="272">
        <f>F_Статистика_когорти!D16</f>
        <v>6.1076923076923091</v>
      </c>
      <c r="D8" s="272">
        <f>F_Статистика_когорти!E16</f>
        <v>5.3435897435897424</v>
      </c>
      <c r="E8" s="272">
        <f>F_Статистика_когорти!F16</f>
        <v>4.6076923076923082</v>
      </c>
      <c r="F8" s="272">
        <f>F_Статистика_когорти!G16</f>
        <v>2.8820512820512811</v>
      </c>
    </row>
    <row r="9" spans="1:8" ht="15" customHeight="1" x14ac:dyDescent="0.25">
      <c r="A9" s="69" t="s">
        <v>926</v>
      </c>
      <c r="B9" s="272">
        <f>F_Статистика_когорти!C17</f>
        <v>6.9179104477611926</v>
      </c>
      <c r="C9" s="272">
        <f>F_Статистика_когорти!D17</f>
        <v>6.5746268656716431</v>
      </c>
      <c r="D9" s="272">
        <f>F_Статистика_когорти!E17</f>
        <v>6.2164179104477597</v>
      </c>
      <c r="E9" s="272">
        <f>F_Статистика_когорти!F17</f>
        <v>5.8776119402985092</v>
      </c>
      <c r="F9" s="272">
        <f>F_Статистика_когорти!G17</f>
        <v>5.1149253731343292</v>
      </c>
    </row>
    <row r="32" spans="1:8" ht="15" customHeight="1" x14ac:dyDescent="0.25">
      <c r="A32" s="357" t="s">
        <v>861</v>
      </c>
      <c r="B32" s="357"/>
      <c r="C32" s="357"/>
      <c r="D32" s="357"/>
      <c r="E32" s="357"/>
      <c r="F32" s="357"/>
      <c r="G32" s="357"/>
      <c r="H32" s="357"/>
    </row>
    <row r="33" spans="1:8" ht="42" customHeight="1" x14ac:dyDescent="0.25">
      <c r="A33" s="360" t="s">
        <v>5194</v>
      </c>
      <c r="B33" s="360"/>
      <c r="C33" s="361" t="s">
        <v>5195</v>
      </c>
      <c r="D33" s="361"/>
      <c r="E33" s="361"/>
      <c r="F33" s="361"/>
      <c r="G33" s="361"/>
      <c r="H33" s="361"/>
    </row>
    <row r="34" spans="1:8" ht="42" customHeight="1" x14ac:dyDescent="0.25">
      <c r="A34" s="360" t="s">
        <v>5196</v>
      </c>
      <c r="B34" s="360"/>
      <c r="C34" s="361" t="s">
        <v>5197</v>
      </c>
      <c r="D34" s="361"/>
      <c r="E34" s="361"/>
      <c r="F34" s="361"/>
      <c r="G34" s="361"/>
      <c r="H34" s="361"/>
    </row>
    <row r="35" spans="1:8" ht="42" customHeight="1" x14ac:dyDescent="0.25">
      <c r="A35" s="360" t="s">
        <v>5198</v>
      </c>
      <c r="B35" s="360"/>
      <c r="C35" s="361" t="s">
        <v>5199</v>
      </c>
      <c r="D35" s="361"/>
      <c r="E35" s="361"/>
      <c r="F35" s="361"/>
      <c r="G35" s="361"/>
      <c r="H35" s="361"/>
    </row>
  </sheetData>
  <sheetProtection password="EBB1" sheet="1" formatColumns="0" formatRows="0" sort="0" autoFilter="0"/>
  <mergeCells count="10">
    <mergeCell ref="A34:B34"/>
    <mergeCell ref="C34:H34"/>
    <mergeCell ref="A35:B35"/>
    <mergeCell ref="C35:H35"/>
    <mergeCell ref="A1:H1"/>
    <mergeCell ref="A2:H2"/>
    <mergeCell ref="A4:H4"/>
    <mergeCell ref="A32:H32"/>
    <mergeCell ref="A33:B33"/>
    <mergeCell ref="C33:H33"/>
  </mergeCells>
  <pageMargins left="0.75" right="0.75" top="1" bottom="1" header="0.511811023622047" footer="0.511811023622047"/>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tabSelected="1" zoomScaleNormal="100" workbookViewId="0">
      <selection sqref="A1:F1"/>
    </sheetView>
  </sheetViews>
  <sheetFormatPr defaultColWidth="8.7109375" defaultRowHeight="15" x14ac:dyDescent="0.25"/>
  <cols>
    <col min="1" max="1" width="5" style="15" customWidth="1"/>
    <col min="2" max="2" width="46" style="15" customWidth="1"/>
    <col min="3" max="3" width="18" style="15" customWidth="1"/>
    <col min="4" max="4" width="14" style="15" customWidth="1"/>
    <col min="5" max="5" width="12" style="15" customWidth="1"/>
    <col min="6" max="6" width="40" style="15" customWidth="1"/>
  </cols>
  <sheetData>
    <row r="1" spans="1:6" ht="15.75" customHeight="1" x14ac:dyDescent="0.25">
      <c r="A1" s="3" t="s">
        <v>5200</v>
      </c>
      <c r="B1" s="3"/>
      <c r="C1" s="3"/>
      <c r="D1" s="3"/>
      <c r="E1" s="3"/>
      <c r="F1" s="3"/>
    </row>
    <row r="2" spans="1:6" ht="33.75" customHeight="1" x14ac:dyDescent="0.25">
      <c r="A2" s="13" t="s">
        <v>5201</v>
      </c>
      <c r="B2" s="13"/>
      <c r="C2" s="13"/>
      <c r="D2" s="13"/>
      <c r="E2" s="13"/>
      <c r="F2" s="13"/>
    </row>
    <row r="4" spans="1:6" ht="30" customHeight="1" x14ac:dyDescent="0.25">
      <c r="A4" s="16" t="s">
        <v>927</v>
      </c>
      <c r="B4" s="16" t="s">
        <v>4792</v>
      </c>
      <c r="C4" s="16" t="s">
        <v>5202</v>
      </c>
      <c r="D4" s="16" t="s">
        <v>5203</v>
      </c>
      <c r="E4" s="16" t="s">
        <v>6</v>
      </c>
      <c r="F4" s="16" t="s">
        <v>5204</v>
      </c>
    </row>
    <row r="5" spans="1:6" ht="24" customHeight="1" x14ac:dyDescent="0.25">
      <c r="A5" s="72">
        <v>1</v>
      </c>
      <c r="B5" s="70" t="s">
        <v>5205</v>
      </c>
      <c r="C5" s="72" t="s">
        <v>5206</v>
      </c>
      <c r="D5" s="306">
        <f>ROUND(SUM('5_Mechanistic'!$L$7:$L$14),3)</f>
        <v>1</v>
      </c>
      <c r="E5" s="201" t="str">
        <f>IF(ROUND($D5,3)=1,"✔ OK","✖ ВІДХИЛЕННЯ")</f>
        <v>✔ OK</v>
      </c>
      <c r="F5" s="77" t="s">
        <v>5207</v>
      </c>
    </row>
    <row r="6" spans="1:6" ht="24" customHeight="1" x14ac:dyDescent="0.25">
      <c r="A6" s="72">
        <v>2</v>
      </c>
      <c r="B6" s="70" t="s">
        <v>5208</v>
      </c>
      <c r="C6" s="72" t="s">
        <v>5206</v>
      </c>
      <c r="D6" s="306">
        <f>ROUND(SUM('6_Audit_Trail'!$K$74:$K$81),3)</f>
        <v>1</v>
      </c>
      <c r="E6" s="201" t="str">
        <f>IF(ROUND($D6,3)=1,"✔ OK","✖ ВІДХИЛЕННЯ")</f>
        <v>✔ OK</v>
      </c>
      <c r="F6" s="77" t="s">
        <v>5209</v>
      </c>
    </row>
    <row r="7" spans="1:6" ht="24" customHeight="1" x14ac:dyDescent="0.25">
      <c r="A7" s="72">
        <v>3</v>
      </c>
      <c r="B7" s="70" t="s">
        <v>5210</v>
      </c>
      <c r="C7" s="72" t="s">
        <v>5206</v>
      </c>
      <c r="D7" s="306">
        <f>ROUND(SUM('6_Audit_Trail'!$K$83:$K$88),3)</f>
        <v>1</v>
      </c>
      <c r="E7" s="201" t="str">
        <f>IF(ROUND($D7,3)=1,"✔ OK","✖ ВІДХИЛЕННЯ")</f>
        <v>✔ OK</v>
      </c>
      <c r="F7" s="77" t="s">
        <v>5211</v>
      </c>
    </row>
    <row r="8" spans="1:6" ht="24" customHeight="1" x14ac:dyDescent="0.25">
      <c r="A8" s="72">
        <v>4</v>
      </c>
      <c r="B8" s="70" t="s">
        <v>5212</v>
      </c>
      <c r="C8" s="72" t="s">
        <v>5206</v>
      </c>
      <c r="D8" s="306">
        <f>ROUND(SUM('6_Audit_Trail'!$K$90:$K$97),3)</f>
        <v>1</v>
      </c>
      <c r="E8" s="201" t="str">
        <f>IF(ROUND($D8,3)=1,"✔ OK","✖ ВІДХИЛЕННЯ")</f>
        <v>✔ OK</v>
      </c>
      <c r="F8" s="77" t="s">
        <v>5213</v>
      </c>
    </row>
    <row r="9" spans="1:6" ht="24" customHeight="1" x14ac:dyDescent="0.25">
      <c r="A9" s="72">
        <v>5</v>
      </c>
      <c r="B9" s="70" t="s">
        <v>5214</v>
      </c>
      <c r="C9" s="72" t="s">
        <v>5206</v>
      </c>
      <c r="D9" s="306">
        <f>ROUND(SUM('6_Audit_Trail'!$B$110:$B$114),3)</f>
        <v>1</v>
      </c>
      <c r="E9" s="201" t="str">
        <f>IF(ROUND($D9,3)=1,"✔ OK","✖ ВІДХИЛЕННЯ")</f>
        <v>✔ OK</v>
      </c>
      <c r="F9" s="77" t="s">
        <v>5215</v>
      </c>
    </row>
    <row r="10" spans="1:6" ht="24" customHeight="1" x14ac:dyDescent="0.25">
      <c r="A10" s="72">
        <v>6</v>
      </c>
      <c r="B10" s="70" t="s">
        <v>5216</v>
      </c>
      <c r="C10" s="72" t="s">
        <v>5217</v>
      </c>
      <c r="D10" s="306">
        <f>COUNTA('Довідник_зон_S-matrix'!$C$3:$C$249)</f>
        <v>232</v>
      </c>
      <c r="E10" s="201" t="str">
        <f>IF(ROUND($D10,3)=232,"✔ OK","✖ ВІДХИЛЕННЯ")</f>
        <v>✔ OK</v>
      </c>
      <c r="F10" s="77" t="s">
        <v>5218</v>
      </c>
    </row>
    <row r="11" spans="1:6" ht="24" customHeight="1" x14ac:dyDescent="0.25">
      <c r="A11" s="72">
        <v>7</v>
      </c>
      <c r="B11" s="70" t="s">
        <v>5219</v>
      </c>
      <c r="C11" s="72" t="s">
        <v>5220</v>
      </c>
      <c r="D11" s="306">
        <f>COUNTA('6+1_зони_підсумок'!$A$6:$A$121)</f>
        <v>116</v>
      </c>
      <c r="E11" s="201" t="str">
        <f>IF(ROUND($D11,3)=116,"✔ OK","✖ ВІДХИЛЕННЯ")</f>
        <v>✔ OK</v>
      </c>
      <c r="F11" s="77" t="s">
        <v>5221</v>
      </c>
    </row>
    <row r="12" spans="1:6" ht="24" customHeight="1" x14ac:dyDescent="0.25">
      <c r="A12" s="72">
        <v>8</v>
      </c>
      <c r="B12" s="70" t="s">
        <v>5222</v>
      </c>
      <c r="C12" s="72" t="s">
        <v>5220</v>
      </c>
      <c r="D12" s="306">
        <f>COUNTA(Терапія_по_зонах!$AK$7:$AK$122)</f>
        <v>116</v>
      </c>
      <c r="E12" s="201" t="str">
        <f>IF(ROUND($D12,3)=116,"✔ OK","✖ ВІДХИЛЕННЯ")</f>
        <v>✔ OK</v>
      </c>
      <c r="F12" s="77" t="s">
        <v>5223</v>
      </c>
    </row>
    <row r="13" spans="1:6" ht="24" customHeight="1" x14ac:dyDescent="0.25">
      <c r="A13" s="72">
        <v>9</v>
      </c>
      <c r="B13" s="70" t="s">
        <v>5224</v>
      </c>
      <c r="C13" s="72" t="s">
        <v>5225</v>
      </c>
      <c r="D13" s="306">
        <f>COUNTA('8_параметричны описи'!$D$3:$D$62)</f>
        <v>60</v>
      </c>
      <c r="E13" s="201" t="str">
        <f>IF(ROUND($D13,3)=60,"✔ OK","✖ ВІДХИЛЕННЯ")</f>
        <v>✔ OK</v>
      </c>
      <c r="F13" s="77" t="s">
        <v>5226</v>
      </c>
    </row>
    <row r="14" spans="1:6" ht="24" customHeight="1" x14ac:dyDescent="0.25">
      <c r="A14" s="72">
        <v>10</v>
      </c>
      <c r="B14" s="70" t="s">
        <v>5227</v>
      </c>
      <c r="C14" s="72" t="s">
        <v>5228</v>
      </c>
      <c r="D14" s="306">
        <f>COUNTA('2024_2026'!$A$2:$A$976)</f>
        <v>975</v>
      </c>
      <c r="E14" s="201" t="str">
        <f>IF(ROUND($D14,3)=975,"✔ OK","✖ ВІДХИЛЕННЯ")</f>
        <v>✔ OK</v>
      </c>
      <c r="F14" s="77" t="s">
        <v>5229</v>
      </c>
    </row>
    <row r="15" spans="1:6" ht="15" customHeight="1" x14ac:dyDescent="0.25">
      <c r="B15" s="65" t="s">
        <v>5230</v>
      </c>
      <c r="C15" s="409" t="str">
        <f>IF(COUNTIF($E$5:$E$14,"✖ ВІДХИЛЕННЯ")=0,"✔ МОДЕЛЬ ЦІЛІСНА",COUNTIF($E$5:$E$14,"✖ ВІДХИЛЕННЯ")&amp;" ВІДХИЛЕНЬ — ПОТРІБНА ПЕРЕВІРКА")</f>
        <v>✔ МОДЕЛЬ ЦІЛІСНА</v>
      </c>
      <c r="D15" s="409"/>
      <c r="E15" s="409"/>
      <c r="F15" s="409"/>
    </row>
    <row r="17" spans="1:6" ht="15" customHeight="1" x14ac:dyDescent="0.25">
      <c r="A17" s="357" t="s">
        <v>861</v>
      </c>
      <c r="B17" s="357"/>
      <c r="C17" s="357"/>
      <c r="D17" s="357"/>
      <c r="E17" s="357"/>
      <c r="F17" s="357"/>
    </row>
    <row r="18" spans="1:6" ht="42" customHeight="1" x14ac:dyDescent="0.25">
      <c r="A18" s="360" t="s">
        <v>5231</v>
      </c>
      <c r="B18" s="360"/>
      <c r="C18" s="361" t="s">
        <v>5232</v>
      </c>
      <c r="D18" s="361"/>
      <c r="E18" s="361"/>
      <c r="F18" s="361"/>
    </row>
    <row r="19" spans="1:6" ht="42" customHeight="1" x14ac:dyDescent="0.25">
      <c r="A19" s="360" t="s">
        <v>5233</v>
      </c>
      <c r="B19" s="360"/>
      <c r="C19" s="361" t="s">
        <v>5234</v>
      </c>
      <c r="D19" s="361"/>
      <c r="E19" s="361"/>
      <c r="F19" s="361"/>
    </row>
    <row r="20" spans="1:6" ht="42" customHeight="1" x14ac:dyDescent="0.25">
      <c r="A20" s="360" t="s">
        <v>5235</v>
      </c>
      <c r="B20" s="360"/>
      <c r="C20" s="361" t="s">
        <v>5236</v>
      </c>
      <c r="D20" s="361"/>
      <c r="E20" s="361"/>
      <c r="F20" s="361"/>
    </row>
  </sheetData>
  <sheetProtection password="EBB1" sheet="1" formatColumns="0" formatRows="0" sort="0" autoFilter="0"/>
  <mergeCells count="10">
    <mergeCell ref="A19:B19"/>
    <mergeCell ref="C19:F19"/>
    <mergeCell ref="A20:B20"/>
    <mergeCell ref="C20:F20"/>
    <mergeCell ref="A1:F1"/>
    <mergeCell ref="A2:F2"/>
    <mergeCell ref="C15:F15"/>
    <mergeCell ref="A17:F17"/>
    <mergeCell ref="A18:B18"/>
    <mergeCell ref="C18:F18"/>
  </mergeCells>
  <pageMargins left="0.75" right="0.75" top="1" bottom="1" header="0.511811023622047" footer="0.511811023622047"/>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topLeftCell="A10" zoomScaleNormal="100" workbookViewId="0">
      <selection sqref="A1:H1"/>
    </sheetView>
  </sheetViews>
  <sheetFormatPr defaultColWidth="8.7109375" defaultRowHeight="15" x14ac:dyDescent="0.25"/>
  <cols>
    <col min="1" max="1" width="10" style="15" customWidth="1"/>
    <col min="2" max="2" width="13" style="15" customWidth="1"/>
    <col min="3" max="3" width="26" style="15" customWidth="1"/>
    <col min="4" max="4" width="46" style="15" customWidth="1"/>
    <col min="5" max="5" width="26" style="15" customWidth="1"/>
    <col min="6" max="6" width="22" style="15" customWidth="1"/>
    <col min="7" max="7" width="16" style="15" customWidth="1"/>
    <col min="8" max="8" width="14" style="15" customWidth="1"/>
  </cols>
  <sheetData>
    <row r="1" spans="1:8" ht="15.75" customHeight="1" x14ac:dyDescent="0.25">
      <c r="A1" s="389" t="s">
        <v>5237</v>
      </c>
      <c r="B1" s="389"/>
      <c r="C1" s="389"/>
      <c r="D1" s="389"/>
      <c r="E1" s="389"/>
      <c r="F1" s="389"/>
      <c r="G1" s="389"/>
      <c r="H1" s="389"/>
    </row>
    <row r="2" spans="1:8" ht="33.75" customHeight="1" x14ac:dyDescent="0.25">
      <c r="A2" s="390" t="s">
        <v>5238</v>
      </c>
      <c r="B2" s="390"/>
      <c r="C2" s="390"/>
      <c r="D2" s="390"/>
      <c r="E2" s="390"/>
      <c r="F2" s="390"/>
      <c r="G2" s="390"/>
      <c r="H2" s="390"/>
    </row>
    <row r="3" spans="1:8" ht="15" customHeight="1" x14ac:dyDescent="0.25">
      <c r="A3" s="50"/>
      <c r="B3" s="50"/>
      <c r="C3" s="50"/>
      <c r="D3" s="50"/>
      <c r="E3" s="50"/>
      <c r="F3" s="50"/>
      <c r="G3" s="50"/>
      <c r="H3" s="50"/>
    </row>
    <row r="4" spans="1:8" ht="30" customHeight="1" x14ac:dyDescent="0.25">
      <c r="A4" s="232" t="s">
        <v>5239</v>
      </c>
      <c r="B4" s="232" t="s">
        <v>4736</v>
      </c>
      <c r="C4" s="232" t="s">
        <v>5240</v>
      </c>
      <c r="D4" s="232" t="s">
        <v>5241</v>
      </c>
      <c r="E4" s="232" t="s">
        <v>5242</v>
      </c>
      <c r="F4" s="232" t="s">
        <v>5243</v>
      </c>
      <c r="G4" s="232" t="s">
        <v>5244</v>
      </c>
      <c r="H4" s="232" t="s">
        <v>5245</v>
      </c>
    </row>
    <row r="5" spans="1:8" ht="30" customHeight="1" x14ac:dyDescent="0.25">
      <c r="A5" s="233" t="s">
        <v>5246</v>
      </c>
      <c r="B5" s="353"/>
      <c r="C5" s="268" t="s">
        <v>5247</v>
      </c>
      <c r="D5" s="268" t="s">
        <v>5248</v>
      </c>
      <c r="E5" s="268" t="s">
        <v>5249</v>
      </c>
      <c r="F5" s="233" t="s">
        <v>5250</v>
      </c>
      <c r="G5" s="234"/>
      <c r="H5" s="353"/>
    </row>
    <row r="6" spans="1:8" ht="30" customHeight="1" x14ac:dyDescent="0.25">
      <c r="A6" s="233" t="s">
        <v>5251</v>
      </c>
      <c r="B6" s="353"/>
      <c r="C6" s="268" t="s">
        <v>79</v>
      </c>
      <c r="D6" s="268" t="s">
        <v>5252</v>
      </c>
      <c r="E6" s="268" t="s">
        <v>5253</v>
      </c>
      <c r="F6" s="233" t="s">
        <v>5254</v>
      </c>
      <c r="G6" s="234"/>
      <c r="H6" s="353"/>
    </row>
    <row r="7" spans="1:8" ht="30" customHeight="1" x14ac:dyDescent="0.25">
      <c r="A7" s="233" t="s">
        <v>5255</v>
      </c>
      <c r="B7" s="353"/>
      <c r="C7" s="268" t="s">
        <v>77</v>
      </c>
      <c r="D7" s="268" t="s">
        <v>5256</v>
      </c>
      <c r="E7" s="268" t="s">
        <v>5257</v>
      </c>
      <c r="F7" s="233" t="s">
        <v>5254</v>
      </c>
      <c r="G7" s="234"/>
      <c r="H7" s="353"/>
    </row>
    <row r="8" spans="1:8" ht="30" customHeight="1" x14ac:dyDescent="0.25">
      <c r="A8" s="233" t="s">
        <v>5258</v>
      </c>
      <c r="B8" s="353"/>
      <c r="C8" s="268" t="s">
        <v>86</v>
      </c>
      <c r="D8" s="268" t="s">
        <v>5259</v>
      </c>
      <c r="E8" s="268" t="s">
        <v>5260</v>
      </c>
      <c r="F8" s="233" t="s">
        <v>5254</v>
      </c>
      <c r="G8" s="234"/>
      <c r="H8" s="353"/>
    </row>
    <row r="9" spans="1:8" ht="30" customHeight="1" x14ac:dyDescent="0.25">
      <c r="A9" s="233" t="s">
        <v>5261</v>
      </c>
      <c r="B9" s="353"/>
      <c r="C9" s="268" t="s">
        <v>41</v>
      </c>
      <c r="D9" s="268" t="s">
        <v>5262</v>
      </c>
      <c r="E9" s="268" t="s">
        <v>5263</v>
      </c>
      <c r="F9" s="354" t="s">
        <v>5264</v>
      </c>
      <c r="G9" s="234"/>
      <c r="H9" s="353"/>
    </row>
    <row r="10" spans="1:8" ht="30" customHeight="1" x14ac:dyDescent="0.25">
      <c r="A10" s="233" t="s">
        <v>5265</v>
      </c>
      <c r="B10" s="353"/>
      <c r="C10" s="268" t="s">
        <v>46</v>
      </c>
      <c r="D10" s="268" t="s">
        <v>5266</v>
      </c>
      <c r="E10" s="268" t="s">
        <v>5267</v>
      </c>
      <c r="F10" s="354" t="s">
        <v>5268</v>
      </c>
      <c r="G10" s="234"/>
      <c r="H10" s="353"/>
    </row>
    <row r="11" spans="1:8" ht="30" customHeight="1" x14ac:dyDescent="0.25">
      <c r="A11" s="233" t="s">
        <v>5269</v>
      </c>
      <c r="B11" s="353"/>
      <c r="C11" s="268" t="s">
        <v>31</v>
      </c>
      <c r="D11" s="268" t="s">
        <v>5270</v>
      </c>
      <c r="E11" s="268" t="s">
        <v>5271</v>
      </c>
      <c r="F11" s="354" t="s">
        <v>5272</v>
      </c>
      <c r="G11" s="234"/>
      <c r="H11" s="353"/>
    </row>
    <row r="12" spans="1:8" ht="30" customHeight="1" x14ac:dyDescent="0.25">
      <c r="A12" s="233" t="s">
        <v>5273</v>
      </c>
      <c r="B12" s="353"/>
      <c r="C12" s="268" t="s">
        <v>73</v>
      </c>
      <c r="D12" s="268" t="s">
        <v>5274</v>
      </c>
      <c r="E12" s="268" t="s">
        <v>5275</v>
      </c>
      <c r="F12" s="233" t="s">
        <v>5254</v>
      </c>
      <c r="G12" s="234"/>
      <c r="H12" s="353"/>
    </row>
    <row r="13" spans="1:8" ht="30" customHeight="1" x14ac:dyDescent="0.25">
      <c r="A13" s="233" t="s">
        <v>5276</v>
      </c>
      <c r="B13" s="353"/>
      <c r="C13" s="268" t="s">
        <v>5277</v>
      </c>
      <c r="D13" s="268" t="s">
        <v>5278</v>
      </c>
      <c r="E13" s="268" t="s">
        <v>5279</v>
      </c>
      <c r="F13" s="233" t="s">
        <v>5280</v>
      </c>
      <c r="G13" s="234"/>
      <c r="H13" s="353"/>
    </row>
    <row r="14" spans="1:8" ht="15" customHeight="1" x14ac:dyDescent="0.25">
      <c r="A14" s="234"/>
      <c r="B14" s="234"/>
      <c r="C14" s="234"/>
      <c r="D14" s="234"/>
      <c r="E14" s="234"/>
      <c r="F14" s="234"/>
      <c r="G14" s="234"/>
      <c r="H14" s="234"/>
    </row>
    <row r="15" spans="1:8" ht="15" customHeight="1" x14ac:dyDescent="0.25">
      <c r="A15" s="234"/>
      <c r="B15" s="234"/>
      <c r="C15" s="234"/>
      <c r="D15" s="234"/>
      <c r="E15" s="234"/>
      <c r="F15" s="234"/>
      <c r="G15" s="234"/>
      <c r="H15" s="234"/>
    </row>
    <row r="16" spans="1:8" ht="15" customHeight="1" x14ac:dyDescent="0.25">
      <c r="A16" s="234"/>
      <c r="B16" s="234"/>
      <c r="C16" s="234"/>
      <c r="D16" s="234"/>
      <c r="E16" s="234"/>
      <c r="F16" s="234"/>
      <c r="G16" s="234"/>
      <c r="H16" s="234"/>
    </row>
    <row r="17" spans="1:8" ht="15" customHeight="1" x14ac:dyDescent="0.25">
      <c r="A17" s="234"/>
      <c r="B17" s="234"/>
      <c r="C17" s="234"/>
      <c r="D17" s="234"/>
      <c r="E17" s="234"/>
      <c r="F17" s="234"/>
      <c r="G17" s="234"/>
      <c r="H17" s="234"/>
    </row>
    <row r="18" spans="1:8" ht="15" customHeight="1" x14ac:dyDescent="0.25">
      <c r="A18" s="234"/>
      <c r="B18" s="234"/>
      <c r="C18" s="234"/>
      <c r="D18" s="234"/>
      <c r="E18" s="234"/>
      <c r="F18" s="234"/>
      <c r="G18" s="234"/>
      <c r="H18" s="234"/>
    </row>
    <row r="19" spans="1:8" ht="15" customHeight="1" x14ac:dyDescent="0.25">
      <c r="A19" s="234"/>
      <c r="B19" s="234"/>
      <c r="C19" s="234"/>
      <c r="D19" s="234"/>
      <c r="E19" s="234"/>
      <c r="F19" s="234"/>
      <c r="G19" s="234"/>
      <c r="H19" s="234"/>
    </row>
    <row r="20" spans="1:8" ht="15" customHeight="1" x14ac:dyDescent="0.25">
      <c r="A20" s="234"/>
      <c r="B20" s="234"/>
      <c r="C20" s="234"/>
      <c r="D20" s="234"/>
      <c r="E20" s="234"/>
      <c r="F20" s="234"/>
      <c r="G20" s="234"/>
      <c r="H20" s="234"/>
    </row>
    <row r="21" spans="1:8" ht="15" customHeight="1" x14ac:dyDescent="0.25">
      <c r="A21" s="234"/>
      <c r="B21" s="234"/>
      <c r="C21" s="234"/>
      <c r="D21" s="234"/>
      <c r="E21" s="234"/>
      <c r="F21" s="234"/>
      <c r="G21" s="234"/>
      <c r="H21" s="234"/>
    </row>
    <row r="22" spans="1:8" ht="15" customHeight="1" x14ac:dyDescent="0.25">
      <c r="A22" s="50"/>
      <c r="B22" s="50"/>
      <c r="C22" s="50"/>
      <c r="D22" s="50"/>
      <c r="E22" s="50"/>
      <c r="F22" s="50"/>
      <c r="G22" s="50"/>
      <c r="H22" s="50"/>
    </row>
    <row r="23" spans="1:8" ht="15" customHeight="1" x14ac:dyDescent="0.25">
      <c r="A23" s="391" t="s">
        <v>861</v>
      </c>
      <c r="B23" s="391"/>
      <c r="C23" s="391"/>
      <c r="D23" s="391"/>
      <c r="E23" s="391"/>
      <c r="F23" s="391"/>
      <c r="G23" s="391"/>
      <c r="H23" s="391"/>
    </row>
    <row r="24" spans="1:8" ht="42" customHeight="1" x14ac:dyDescent="0.25">
      <c r="A24" s="396" t="s">
        <v>5281</v>
      </c>
      <c r="B24" s="396"/>
      <c r="C24" s="397" t="s">
        <v>5282</v>
      </c>
      <c r="D24" s="397"/>
      <c r="E24" s="397"/>
      <c r="F24" s="397"/>
      <c r="G24" s="397"/>
      <c r="H24" s="397"/>
    </row>
    <row r="25" spans="1:8" ht="42" customHeight="1" x14ac:dyDescent="0.25">
      <c r="A25" s="396" t="s">
        <v>5283</v>
      </c>
      <c r="B25" s="396"/>
      <c r="C25" s="397" t="s">
        <v>5284</v>
      </c>
      <c r="D25" s="397"/>
      <c r="E25" s="397"/>
      <c r="F25" s="397"/>
      <c r="G25" s="397"/>
      <c r="H25" s="397"/>
    </row>
    <row r="26" spans="1:8" ht="42" customHeight="1" x14ac:dyDescent="0.25">
      <c r="A26" s="396" t="s">
        <v>4672</v>
      </c>
      <c r="B26" s="396"/>
      <c r="C26" s="397" t="s">
        <v>5285</v>
      </c>
      <c r="D26" s="397"/>
      <c r="E26" s="397"/>
      <c r="F26" s="397"/>
      <c r="G26" s="397"/>
      <c r="H26" s="397"/>
    </row>
  </sheetData>
  <sheetProtection password="EBB1" sheet="1" formatColumns="0" formatRows="0" sort="0" autoFilter="0"/>
  <mergeCells count="9">
    <mergeCell ref="A25:B25"/>
    <mergeCell ref="C25:H25"/>
    <mergeCell ref="A26:B26"/>
    <mergeCell ref="C26:H26"/>
    <mergeCell ref="A1:H1"/>
    <mergeCell ref="A2:H2"/>
    <mergeCell ref="A23:H23"/>
    <mergeCell ref="A24:B24"/>
    <mergeCell ref="C24:H24"/>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Аркуші</vt:lpstr>
      </vt:variant>
      <vt:variant>
        <vt:i4>28</vt:i4>
      </vt:variant>
    </vt:vector>
  </HeadingPairs>
  <TitlesOfParts>
    <vt:vector size="28" baseType="lpstr">
      <vt:lpstr>0_Навігація</vt:lpstr>
      <vt:lpstr>Інструкція_протокол</vt:lpstr>
      <vt:lpstr>1_Input_5_обстежень_</vt:lpstr>
      <vt:lpstr>2_Parameter_Scores</vt:lpstr>
      <vt:lpstr>3_коефіцієнти_розширеного_аналі</vt:lpstr>
      <vt:lpstr>5_Mechanistic</vt:lpstr>
      <vt:lpstr>6_Audit_Trail</vt:lpstr>
      <vt:lpstr>7_Final</vt:lpstr>
      <vt:lpstr>8_параметричны описи</vt:lpstr>
      <vt:lpstr>2024_2026</vt:lpstr>
      <vt:lpstr>Інструкція_кор</vt:lpstr>
      <vt:lpstr>Терапія_по_зонах</vt:lpstr>
      <vt:lpstr>6+1_зони_підсумок</vt:lpstr>
      <vt:lpstr>Довідник_зон_S-matrix</vt:lpstr>
      <vt:lpstr>J_Карта_точок</vt:lpstr>
      <vt:lpstr>A_Картка_пацієнта</vt:lpstr>
      <vt:lpstr>B_Дозиметрія_сеансів</vt:lpstr>
      <vt:lpstr>C_Чек-лист_безпеки</vt:lpstr>
      <vt:lpstr>D_Небажані_явища</vt:lpstr>
      <vt:lpstr>E_Метрологія_обладнання</vt:lpstr>
      <vt:lpstr>F_Статистика_когорти</vt:lpstr>
      <vt:lpstr>G1_Динаміка_індексів</vt:lpstr>
      <vt:lpstr>F1_Когортні_індекси</vt:lpstr>
      <vt:lpstr>K_Статистика_порівняння</vt:lpstr>
      <vt:lpstr>L_Змішана_модель</vt:lpstr>
      <vt:lpstr>G_Тренди</vt:lpstr>
      <vt:lpstr>H_Валідація_моделі</vt:lpstr>
      <vt:lpstr>I_Журнал_версій</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Михайло Ілліч Фик</dc:creator>
  <dc:description/>
  <cp:lastModifiedBy>User</cp:lastModifiedBy>
  <cp:revision>36</cp:revision>
  <dcterms:created xsi:type="dcterms:W3CDTF">2026-07-07T11:20:27Z</dcterms:created>
  <dcterms:modified xsi:type="dcterms:W3CDTF">2026-07-23T14:32:54Z</dcterms:modified>
  <dc:language>en-US</dc:language>
</cp:coreProperties>
</file>